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filterPrivacy="1" defaultThemeVersion="166925"/>
  <xr:revisionPtr revIDLastSave="0" documentId="13_ncr:1_{B7F30577-0317-744C-81A1-99F351233B05}" xr6:coauthVersionLast="47" xr6:coauthVersionMax="47" xr10:uidLastSave="{00000000-0000-0000-0000-000000000000}"/>
  <bookViews>
    <workbookView xWindow="0" yWindow="500" windowWidth="28800" windowHeight="17500" activeTab="1" xr2:uid="{DCA4F4AA-CD03-4A50-A5AA-D855F73E7BC4}"/>
  </bookViews>
  <sheets>
    <sheet name="How to Use" sheetId="2" r:id="rId1"/>
    <sheet name="Caliculation" sheetId="1" r:id="rId2"/>
    <sheet name="▷ Data" sheetId="3" r:id="rId3"/>
  </sheets>
  <definedNames>
    <definedName name="Circ">Caliculation!$C$6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J49" i="1"/>
  <c r="K49" i="1" s="1"/>
  <c r="L49" i="1" s="1"/>
  <c r="M49" i="1" s="1"/>
  <c r="J50" i="1"/>
  <c r="K50" i="1" s="1"/>
  <c r="L50" i="1" s="1"/>
  <c r="M50" i="1" s="1"/>
  <c r="K48" i="1"/>
  <c r="L48" i="1" s="1"/>
  <c r="M48" i="1" s="1"/>
  <c r="J48" i="1"/>
  <c r="H247" i="1"/>
  <c r="H248" i="1" s="1"/>
  <c r="H249" i="1" s="1"/>
  <c r="H250" i="1" s="1"/>
  <c r="H251" i="1" s="1"/>
  <c r="H252" i="1" s="1"/>
  <c r="F60" i="1" l="1"/>
  <c r="F61" i="1"/>
  <c r="M61" i="1"/>
  <c r="L61" i="1"/>
  <c r="K61" i="1"/>
  <c r="J61" i="1"/>
  <c r="I61" i="1"/>
  <c r="H61" i="1"/>
  <c r="G61" i="1"/>
  <c r="M60" i="1"/>
  <c r="L60" i="1"/>
  <c r="K60" i="1"/>
  <c r="J60" i="1"/>
  <c r="I60" i="1"/>
  <c r="H60" i="1"/>
  <c r="G60" i="1"/>
  <c r="J245" i="1" l="1"/>
  <c r="K245" i="1" s="1"/>
  <c r="L245" i="1" s="1"/>
  <c r="M245" i="1" s="1"/>
  <c r="M236" i="1" l="1"/>
  <c r="C245" i="1" l="1"/>
  <c r="D235" i="1"/>
  <c r="C238" i="1" l="1"/>
  <c r="M235" i="1"/>
  <c r="M237" i="1" s="1"/>
  <c r="M204" i="1"/>
  <c r="L204" i="1"/>
  <c r="K204" i="1"/>
  <c r="J204" i="1"/>
  <c r="I204" i="1"/>
  <c r="J203" i="1"/>
  <c r="K203" i="1" l="1"/>
  <c r="L203" i="1" l="1"/>
  <c r="M203" i="1" l="1"/>
  <c r="F145" i="1" l="1"/>
  <c r="G145" i="1"/>
  <c r="H145" i="1"/>
  <c r="H146" i="1" l="1"/>
  <c r="I144" i="1" s="1"/>
  <c r="H118" i="1"/>
  <c r="G118" i="1"/>
  <c r="F118" i="1"/>
  <c r="I102" i="1"/>
  <c r="J102" i="1" s="1"/>
  <c r="K102" i="1" s="1"/>
  <c r="L102" i="1" s="1"/>
  <c r="M102" i="1" s="1"/>
  <c r="I189" i="1"/>
  <c r="J189" i="1" s="1"/>
  <c r="K189" i="1" s="1"/>
  <c r="L189" i="1" s="1"/>
  <c r="M189" i="1" s="1"/>
  <c r="I182" i="1"/>
  <c r="J182" i="1" s="1"/>
  <c r="K182" i="1" s="1"/>
  <c r="L182" i="1" s="1"/>
  <c r="M182" i="1" s="1"/>
  <c r="H188" i="1"/>
  <c r="I186" i="1" s="1"/>
  <c r="H181" i="1"/>
  <c r="I179" i="1" l="1"/>
  <c r="H194" i="1"/>
  <c r="M230" i="1" s="1"/>
  <c r="I188" i="1"/>
  <c r="J186" i="1" s="1"/>
  <c r="I190" i="1" l="1"/>
  <c r="J188" i="1"/>
  <c r="K186" i="1" s="1"/>
  <c r="I192" i="1"/>
  <c r="C237" i="1"/>
  <c r="D226" i="1"/>
  <c r="D227" i="1" s="1"/>
  <c r="I96" i="1"/>
  <c r="J96" i="1" l="1"/>
  <c r="C239" i="1"/>
  <c r="D238" i="1" s="1"/>
  <c r="J190" i="1"/>
  <c r="K188" i="1"/>
  <c r="K190" i="1" s="1"/>
  <c r="H174" i="1"/>
  <c r="I100" i="1"/>
  <c r="J100" i="1" s="1"/>
  <c r="K100" i="1" s="1"/>
  <c r="L100" i="1" s="1"/>
  <c r="M100" i="1" s="1"/>
  <c r="F63" i="1"/>
  <c r="J154" i="1"/>
  <c r="K154" i="1" s="1"/>
  <c r="L154" i="1" s="1"/>
  <c r="M154" i="1" s="1"/>
  <c r="H152" i="1"/>
  <c r="I149" i="1" s="1"/>
  <c r="I172" i="1" l="1"/>
  <c r="I202" i="1" s="1"/>
  <c r="M231" i="1"/>
  <c r="D237" i="1"/>
  <c r="L186" i="1"/>
  <c r="K96" i="1"/>
  <c r="H119" i="1"/>
  <c r="G119" i="1"/>
  <c r="J116" i="1"/>
  <c r="J115" i="1"/>
  <c r="J114" i="1"/>
  <c r="J113" i="1"/>
  <c r="K113" i="1" s="1"/>
  <c r="L113" i="1" s="1"/>
  <c r="M113" i="1" s="1"/>
  <c r="J112" i="1"/>
  <c r="J111" i="1"/>
  <c r="K111" i="1" s="1"/>
  <c r="H136" i="1"/>
  <c r="I133" i="1" s="1"/>
  <c r="I135" i="1" s="1"/>
  <c r="H127" i="1"/>
  <c r="I124" i="1" s="1"/>
  <c r="I126" i="1" s="1"/>
  <c r="H139" i="1"/>
  <c r="G139" i="1"/>
  <c r="F139" i="1"/>
  <c r="H130" i="1"/>
  <c r="G130" i="1"/>
  <c r="F130" i="1"/>
  <c r="J117" i="1"/>
  <c r="K117" i="1" s="1"/>
  <c r="L117" i="1" s="1"/>
  <c r="M117" i="1" s="1"/>
  <c r="H114" i="1"/>
  <c r="G114" i="1"/>
  <c r="F114" i="1"/>
  <c r="H112" i="1"/>
  <c r="G112" i="1"/>
  <c r="F112" i="1"/>
  <c r="H105" i="1"/>
  <c r="G105" i="1"/>
  <c r="F105" i="1"/>
  <c r="H98" i="1"/>
  <c r="G98" i="1"/>
  <c r="F98" i="1"/>
  <c r="H91" i="1"/>
  <c r="G91" i="1"/>
  <c r="F91" i="1"/>
  <c r="I90" i="1"/>
  <c r="I104" i="1"/>
  <c r="J104" i="1" s="1"/>
  <c r="K104" i="1" s="1"/>
  <c r="L104" i="1" s="1"/>
  <c r="M104" i="1" s="1"/>
  <c r="D239" i="1" l="1"/>
  <c r="L188" i="1"/>
  <c r="L190" i="1" s="1"/>
  <c r="G106" i="1"/>
  <c r="G108" i="1" s="1"/>
  <c r="F106" i="1"/>
  <c r="F108" i="1" s="1"/>
  <c r="H106" i="1"/>
  <c r="H108" i="1" s="1"/>
  <c r="I63" i="1"/>
  <c r="I159" i="1" s="1"/>
  <c r="I212" i="1" s="1"/>
  <c r="K116" i="1"/>
  <c r="K115" i="1"/>
  <c r="K114" i="1"/>
  <c r="L111" i="1"/>
  <c r="K112" i="1"/>
  <c r="J90" i="1"/>
  <c r="G63" i="1"/>
  <c r="H63" i="1"/>
  <c r="M52" i="1"/>
  <c r="L52" i="1"/>
  <c r="K52" i="1"/>
  <c r="J52" i="1"/>
  <c r="I52" i="1"/>
  <c r="M47" i="1"/>
  <c r="L47" i="1"/>
  <c r="K47" i="1"/>
  <c r="J47" i="1"/>
  <c r="I47" i="1"/>
  <c r="M186" i="1" l="1"/>
  <c r="L96" i="1"/>
  <c r="L115" i="1"/>
  <c r="L114" i="1"/>
  <c r="L116" i="1"/>
  <c r="M111" i="1"/>
  <c r="L112" i="1"/>
  <c r="K90" i="1"/>
  <c r="M188" i="1" l="1"/>
  <c r="M96" i="1" s="1"/>
  <c r="M114" i="1"/>
  <c r="M116" i="1"/>
  <c r="M115" i="1"/>
  <c r="M112" i="1"/>
  <c r="L90" i="1"/>
  <c r="M190" i="1" l="1"/>
  <c r="M90" i="1"/>
  <c r="M37" i="1" l="1"/>
  <c r="L37" i="1"/>
  <c r="K37" i="1"/>
  <c r="J37" i="1"/>
  <c r="I37" i="1"/>
  <c r="I36" i="1" s="1"/>
  <c r="M31" i="1"/>
  <c r="L31" i="1"/>
  <c r="K31" i="1"/>
  <c r="J31" i="1"/>
  <c r="I31" i="1"/>
  <c r="I30" i="1" s="1"/>
  <c r="M25" i="1"/>
  <c r="I25" i="1"/>
  <c r="I24" i="1" s="1"/>
  <c r="H25" i="1"/>
  <c r="G25" i="1"/>
  <c r="H31" i="1"/>
  <c r="G31" i="1"/>
  <c r="H37" i="1"/>
  <c r="G37" i="1"/>
  <c r="G42" i="1"/>
  <c r="G9" i="1" s="1"/>
  <c r="H42" i="1"/>
  <c r="H9" i="1" s="1"/>
  <c r="F42" i="1"/>
  <c r="F9" i="1" s="1"/>
  <c r="G6" i="1"/>
  <c r="D6" i="1"/>
  <c r="D7" i="1"/>
  <c r="F66" i="1" l="1"/>
  <c r="F129" i="1"/>
  <c r="F138" i="1"/>
  <c r="G66" i="1"/>
  <c r="G129" i="1"/>
  <c r="G138" i="1"/>
  <c r="H66" i="1"/>
  <c r="H138" i="1"/>
  <c r="H129" i="1"/>
  <c r="F115" i="1"/>
  <c r="F116" i="1"/>
  <c r="H115" i="1"/>
  <c r="H116" i="1"/>
  <c r="G115" i="1"/>
  <c r="G116" i="1"/>
  <c r="H113" i="1"/>
  <c r="H111" i="1"/>
  <c r="G111" i="1"/>
  <c r="G113" i="1"/>
  <c r="F111" i="1"/>
  <c r="F113" i="1"/>
  <c r="G47" i="1"/>
  <c r="G11" i="1"/>
  <c r="G52" i="1"/>
  <c r="F52" i="1"/>
  <c r="F11" i="1"/>
  <c r="F47" i="1"/>
  <c r="H52" i="1"/>
  <c r="H11" i="1"/>
  <c r="H47" i="1"/>
  <c r="J30" i="1"/>
  <c r="K30" i="1" s="1"/>
  <c r="L30" i="1" s="1"/>
  <c r="M30" i="1" s="1"/>
  <c r="G43" i="1"/>
  <c r="J36" i="1"/>
  <c r="K36" i="1" s="1"/>
  <c r="L36" i="1" s="1"/>
  <c r="M36" i="1" s="1"/>
  <c r="H43" i="1"/>
  <c r="I42" i="1"/>
  <c r="H6" i="1"/>
  <c r="I6" i="1" s="1"/>
  <c r="I7" i="1" s="1"/>
  <c r="I218" i="1" s="1"/>
  <c r="I219" i="1" s="1"/>
  <c r="F73" i="1" l="1"/>
  <c r="G15" i="1"/>
  <c r="G74" i="1" s="1"/>
  <c r="G73" i="1"/>
  <c r="H15" i="1"/>
  <c r="H73" i="1"/>
  <c r="I9" i="1"/>
  <c r="I43" i="1"/>
  <c r="J6" i="1"/>
  <c r="K6" i="1" s="1"/>
  <c r="G59" i="1" l="1"/>
  <c r="G64" i="1" s="1"/>
  <c r="G76" i="1" s="1"/>
  <c r="H59" i="1"/>
  <c r="H64" i="1" s="1"/>
  <c r="H76" i="1" s="1"/>
  <c r="H74" i="1"/>
  <c r="F18" i="1"/>
  <c r="F117" i="1" s="1"/>
  <c r="F74" i="1"/>
  <c r="H18" i="1"/>
  <c r="H70" i="1"/>
  <c r="F59" i="1"/>
  <c r="F64" i="1" s="1"/>
  <c r="F76" i="1" s="1"/>
  <c r="G18" i="1"/>
  <c r="G80" i="1" s="1"/>
  <c r="G70" i="1"/>
  <c r="I62" i="1"/>
  <c r="I95" i="1"/>
  <c r="I97" i="1"/>
  <c r="I87" i="1"/>
  <c r="I85" i="1"/>
  <c r="I134" i="1"/>
  <c r="I136" i="1" s="1"/>
  <c r="I125" i="1"/>
  <c r="I12" i="1"/>
  <c r="I10" i="1"/>
  <c r="I93" i="1" s="1"/>
  <c r="J7" i="1"/>
  <c r="J218" i="1" s="1"/>
  <c r="K7" i="1"/>
  <c r="K218" i="1" s="1"/>
  <c r="L6" i="1"/>
  <c r="F20" i="1" l="1"/>
  <c r="F75" i="1" s="1"/>
  <c r="H20" i="1"/>
  <c r="H75" i="1" s="1"/>
  <c r="H80" i="1"/>
  <c r="G117" i="1"/>
  <c r="G20" i="1"/>
  <c r="G75" i="1" s="1"/>
  <c r="H117" i="1"/>
  <c r="D228" i="1" s="1"/>
  <c r="D229" i="1" s="1"/>
  <c r="D241" i="1" s="1"/>
  <c r="I160" i="1"/>
  <c r="I145" i="1"/>
  <c r="I146" i="1" s="1"/>
  <c r="I164" i="1"/>
  <c r="I127" i="1"/>
  <c r="I88" i="1" s="1"/>
  <c r="I11" i="1"/>
  <c r="I86" i="1"/>
  <c r="I118" i="1" s="1"/>
  <c r="J133" i="1"/>
  <c r="J135" i="1" s="1"/>
  <c r="I89" i="1"/>
  <c r="L7" i="1"/>
  <c r="L218" i="1" s="1"/>
  <c r="M6" i="1"/>
  <c r="M7" i="1" s="1"/>
  <c r="M218" i="1" s="1"/>
  <c r="I220" i="1" l="1"/>
  <c r="G79" i="1"/>
  <c r="H78" i="1"/>
  <c r="I165" i="1"/>
  <c r="I199" i="1" s="1"/>
  <c r="I214" i="1"/>
  <c r="F150" i="1"/>
  <c r="G71" i="1"/>
  <c r="G150" i="1"/>
  <c r="G154" i="1" s="1"/>
  <c r="H79" i="1"/>
  <c r="H150" i="1"/>
  <c r="H154" i="1" s="1"/>
  <c r="G78" i="1"/>
  <c r="H71" i="1"/>
  <c r="I15" i="1"/>
  <c r="I209" i="1" s="1"/>
  <c r="I210" i="1" s="1"/>
  <c r="I73" i="1"/>
  <c r="I101" i="1"/>
  <c r="J144" i="1"/>
  <c r="J124" i="1"/>
  <c r="J126" i="1" s="1"/>
  <c r="J63" i="1" s="1"/>
  <c r="J159" i="1" s="1"/>
  <c r="J212" i="1" s="1"/>
  <c r="I119" i="1"/>
  <c r="I161" i="1" l="1"/>
  <c r="I213" i="1"/>
  <c r="I211" i="1"/>
  <c r="I70" i="1"/>
  <c r="I74" i="1"/>
  <c r="I59" i="1"/>
  <c r="I64" i="1" s="1"/>
  <c r="I76" i="1" s="1"/>
  <c r="I215" i="1" l="1"/>
  <c r="J219" i="1" l="1"/>
  <c r="J220" i="1" s="1"/>
  <c r="K219" i="1"/>
  <c r="K220" i="1" s="1"/>
  <c r="L219" i="1"/>
  <c r="L220" i="1" s="1"/>
  <c r="M219" i="1"/>
  <c r="M220" i="1" s="1"/>
  <c r="K211" i="1" l="1"/>
  <c r="K215" i="1"/>
  <c r="K216" i="1"/>
  <c r="M103" i="1"/>
  <c r="M152" i="1"/>
  <c r="M149" i="1"/>
  <c r="J76" i="1"/>
  <c r="J64" i="1"/>
  <c r="J59" i="1"/>
  <c r="K170" i="1"/>
  <c r="K167" i="1"/>
  <c r="K193" i="1"/>
  <c r="K180" i="1"/>
  <c r="K205" i="1"/>
  <c r="K200" i="1"/>
  <c r="K198" i="1"/>
  <c r="L88" i="1"/>
  <c r="J199" i="1"/>
  <c r="J165" i="1"/>
  <c r="K202" i="1"/>
  <c r="L86" i="1"/>
  <c r="M17" i="1"/>
  <c r="M195" i="1"/>
  <c r="M183" i="1"/>
  <c r="L199" i="1"/>
  <c r="L165" i="1"/>
  <c r="L27" i="1"/>
  <c r="K27" i="1"/>
  <c r="J27" i="1"/>
  <c r="J170" i="1"/>
  <c r="J167" i="1"/>
  <c r="J193" i="1"/>
  <c r="J180" i="1"/>
  <c r="J198" i="1"/>
  <c r="J200" i="1"/>
  <c r="J205" i="1"/>
  <c r="I106" i="1"/>
  <c r="I98" i="1"/>
  <c r="I94" i="1"/>
  <c r="I19" i="1"/>
  <c r="I80" i="1"/>
  <c r="J94" i="1"/>
  <c r="L160" i="1"/>
  <c r="L62" i="1"/>
  <c r="L145" i="1"/>
  <c r="L170" i="1"/>
  <c r="L167" i="1"/>
  <c r="L198" i="1"/>
  <c r="L200" i="1"/>
  <c r="L205" i="1"/>
  <c r="L180" i="1"/>
  <c r="L193" i="1"/>
  <c r="J108" i="1"/>
  <c r="J91" i="1"/>
  <c r="J84" i="1"/>
  <c r="M194" i="1"/>
  <c r="M192" i="1"/>
  <c r="L194" i="1"/>
  <c r="L192" i="1"/>
  <c r="K194" i="1"/>
  <c r="K192" i="1"/>
  <c r="I194" i="1"/>
  <c r="J192" i="1"/>
  <c r="J194" i="1"/>
  <c r="M43" i="1"/>
  <c r="M89" i="1"/>
  <c r="M136" i="1"/>
  <c r="K80" i="1"/>
  <c r="K19" i="1"/>
  <c r="J160" i="1"/>
  <c r="J158" i="1"/>
  <c r="J162" i="1"/>
  <c r="J173" i="1"/>
  <c r="L25" i="1"/>
  <c r="L26" i="1"/>
  <c r="J106" i="1"/>
  <c r="J98" i="1"/>
  <c r="J93" i="1"/>
  <c r="L59" i="1"/>
  <c r="L64" i="1"/>
  <c r="L76" i="1"/>
  <c r="K145" i="1"/>
  <c r="K62" i="1"/>
  <c r="K160" i="1"/>
  <c r="L202" i="1"/>
  <c r="K158" i="1"/>
  <c r="K162" i="1"/>
  <c r="K173" i="1"/>
  <c r="M224" i="1"/>
  <c r="M229" i="1"/>
  <c r="M233" i="1"/>
  <c r="M239" i="1"/>
  <c r="H245" i="1"/>
  <c r="K84" i="1"/>
  <c r="K91" i="1"/>
  <c r="K108" i="1"/>
  <c r="L28" i="1"/>
  <c r="K28" i="1"/>
  <c r="J28" i="1"/>
  <c r="K214" i="1"/>
  <c r="M210" i="1"/>
  <c r="J10" i="1"/>
  <c r="J86" i="1"/>
  <c r="M226" i="1"/>
  <c r="M227" i="1"/>
  <c r="M228" i="1"/>
  <c r="L150" i="1"/>
  <c r="L151" i="1"/>
  <c r="L168" i="1"/>
  <c r="L201" i="1"/>
  <c r="I193" i="1"/>
  <c r="I167" i="1"/>
  <c r="I170" i="1"/>
  <c r="K101" i="1"/>
  <c r="K105" i="1"/>
  <c r="J164" i="1"/>
  <c r="J214" i="1"/>
  <c r="M127" i="1"/>
  <c r="M88" i="1"/>
  <c r="L125" i="1"/>
  <c r="L164" i="1"/>
  <c r="L214" i="1"/>
  <c r="K76" i="1"/>
  <c r="K64" i="1"/>
  <c r="K59" i="1"/>
  <c r="J70" i="1"/>
  <c r="J74" i="1"/>
  <c r="L94" i="1"/>
  <c r="M133" i="1"/>
  <c r="M135" i="1"/>
  <c r="M76" i="1"/>
  <c r="M64" i="1"/>
  <c r="M59" i="1"/>
  <c r="J105" i="1"/>
  <c r="J101" i="1"/>
  <c r="K89" i="1"/>
  <c r="L135" i="1"/>
  <c r="J201" i="1"/>
  <c r="J168" i="1"/>
  <c r="J151" i="1"/>
  <c r="J150" i="1"/>
  <c r="J213" i="1"/>
  <c r="J85" i="1"/>
  <c r="J118" i="1"/>
  <c r="J119" i="1"/>
  <c r="J161" i="1"/>
  <c r="M212" i="1"/>
  <c r="M159" i="1"/>
  <c r="L127" i="1"/>
  <c r="M124" i="1"/>
  <c r="M126" i="1"/>
  <c r="M63" i="1"/>
  <c r="M86" i="1"/>
  <c r="L105" i="1"/>
  <c r="L101" i="1"/>
  <c r="M173" i="1"/>
  <c r="L106" i="1"/>
  <c r="L10" i="1"/>
  <c r="L93" i="1"/>
  <c r="L98" i="1"/>
  <c r="K73" i="1"/>
  <c r="L71" i="1"/>
  <c r="L78" i="1"/>
  <c r="L79" i="1"/>
  <c r="L75" i="1"/>
  <c r="J43" i="1"/>
  <c r="M202" i="1"/>
  <c r="J73" i="1"/>
  <c r="K161" i="1"/>
  <c r="K85" i="1"/>
  <c r="K118" i="1"/>
  <c r="K119" i="1"/>
  <c r="K213" i="1"/>
  <c r="J17" i="1"/>
  <c r="J183" i="1"/>
  <c r="J195" i="1"/>
  <c r="M73" i="1"/>
  <c r="M108" i="1"/>
  <c r="M172" i="1"/>
  <c r="M174" i="1"/>
  <c r="M84" i="1"/>
  <c r="M91" i="1"/>
  <c r="K103" i="1"/>
  <c r="K126" i="1"/>
  <c r="K63" i="1"/>
  <c r="K159" i="1"/>
  <c r="K212" i="1"/>
  <c r="M150" i="1"/>
  <c r="M151" i="1"/>
  <c r="M168" i="1"/>
  <c r="M201" i="1"/>
  <c r="K149" i="1"/>
  <c r="K152" i="1"/>
  <c r="L149" i="1"/>
  <c r="L152" i="1"/>
  <c r="L103" i="1"/>
  <c r="I103" i="1"/>
  <c r="I105" i="1"/>
  <c r="I108" i="1"/>
  <c r="I91" i="1"/>
  <c r="I84" i="1"/>
  <c r="K17" i="1"/>
  <c r="K183" i="1"/>
  <c r="K195" i="1"/>
  <c r="K106" i="1"/>
  <c r="K98" i="1"/>
  <c r="K93" i="1"/>
  <c r="L183" i="1"/>
  <c r="L195" i="1"/>
  <c r="L17" i="1"/>
  <c r="M214" i="1"/>
  <c r="M158" i="1"/>
  <c r="M162" i="1"/>
  <c r="M198" i="1"/>
  <c r="M200" i="1"/>
  <c r="M205" i="1"/>
  <c r="M180" i="1"/>
  <c r="M193" i="1"/>
  <c r="M167" i="1"/>
  <c r="M170" i="1"/>
  <c r="L212" i="1"/>
  <c r="L124" i="1"/>
  <c r="L126" i="1"/>
  <c r="L63" i="1"/>
  <c r="L159" i="1"/>
  <c r="I151" i="1"/>
  <c r="I168" i="1"/>
  <c r="I201" i="1"/>
  <c r="K79" i="1"/>
  <c r="K75" i="1"/>
  <c r="K71" i="1"/>
  <c r="K78" i="1"/>
  <c r="J211" i="1"/>
  <c r="J215" i="1"/>
  <c r="J216" i="1"/>
  <c r="J88" i="1"/>
  <c r="M213" i="1"/>
  <c r="M85" i="1"/>
  <c r="M118" i="1"/>
  <c r="M119" i="1"/>
  <c r="M161" i="1"/>
  <c r="K125" i="1"/>
  <c r="K164" i="1"/>
  <c r="K165" i="1"/>
  <c r="K199" i="1"/>
  <c r="L73" i="1"/>
  <c r="K135" i="1"/>
  <c r="I150" i="1"/>
  <c r="I152" i="1"/>
  <c r="J149" i="1"/>
  <c r="J152" i="1"/>
  <c r="J103" i="1"/>
  <c r="K10" i="1"/>
  <c r="K86" i="1"/>
  <c r="J95" i="1"/>
  <c r="J12" i="1"/>
  <c r="J97" i="1"/>
  <c r="J87" i="1"/>
  <c r="J202" i="1"/>
  <c r="L80" i="1"/>
  <c r="L19" i="1"/>
  <c r="J75" i="1"/>
  <c r="J71" i="1"/>
  <c r="J78" i="1"/>
  <c r="J20" i="1"/>
  <c r="J79" i="1"/>
  <c r="L18" i="1"/>
  <c r="L20" i="1"/>
  <c r="L158" i="1"/>
  <c r="L162" i="1"/>
  <c r="L173" i="1"/>
  <c r="J89" i="1"/>
  <c r="K18" i="1"/>
  <c r="K20" i="1"/>
  <c r="K150" i="1"/>
  <c r="K151" i="1"/>
  <c r="K168" i="1"/>
  <c r="K201" i="1"/>
  <c r="K43" i="1"/>
  <c r="M10" i="1"/>
  <c r="M93" i="1"/>
  <c r="M98" i="1"/>
  <c r="M106" i="1"/>
  <c r="K12" i="1"/>
  <c r="K87" i="1"/>
  <c r="K134" i="1"/>
  <c r="K95" i="1"/>
  <c r="K97" i="1"/>
  <c r="L210" i="1"/>
  <c r="L12" i="1"/>
  <c r="L134" i="1"/>
  <c r="L97" i="1"/>
  <c r="L95" i="1"/>
  <c r="L87" i="1"/>
  <c r="M145" i="1"/>
  <c r="M62" i="1"/>
  <c r="M160" i="1"/>
  <c r="J19" i="1"/>
  <c r="J18" i="1"/>
  <c r="J80" i="1"/>
  <c r="M87" i="1"/>
  <c r="M12" i="1"/>
  <c r="M134" i="1"/>
  <c r="M95" i="1"/>
  <c r="M97" i="1"/>
  <c r="L43" i="1"/>
  <c r="K70" i="1"/>
  <c r="K74" i="1"/>
  <c r="J134" i="1"/>
  <c r="J136" i="1"/>
  <c r="K133" i="1"/>
  <c r="K136" i="1"/>
  <c r="L133" i="1"/>
  <c r="L136" i="1"/>
  <c r="L89" i="1"/>
  <c r="I71" i="1"/>
  <c r="I79" i="1"/>
  <c r="I75" i="1"/>
  <c r="I78" i="1"/>
  <c r="M75" i="1"/>
  <c r="M79" i="1"/>
  <c r="M71" i="1"/>
  <c r="M20" i="1"/>
  <c r="M78" i="1"/>
  <c r="M74" i="1"/>
  <c r="M70" i="1"/>
  <c r="J11" i="1"/>
  <c r="J15" i="1"/>
  <c r="J209" i="1"/>
  <c r="J210" i="1"/>
  <c r="M209" i="1"/>
  <c r="M211" i="1"/>
  <c r="M215" i="1"/>
  <c r="M216" i="1"/>
  <c r="J125" i="1"/>
  <c r="J127" i="1"/>
  <c r="K124" i="1"/>
  <c r="K127" i="1"/>
  <c r="K88" i="1"/>
  <c r="I173" i="1"/>
  <c r="I174" i="1"/>
  <c r="J172" i="1"/>
  <c r="J174" i="1"/>
  <c r="K172" i="1"/>
  <c r="K174" i="1"/>
  <c r="L172" i="1"/>
  <c r="L174" i="1"/>
  <c r="L84" i="1"/>
  <c r="L91" i="1"/>
  <c r="L108" i="1"/>
  <c r="L70" i="1"/>
  <c r="L74" i="1"/>
  <c r="K94" i="1"/>
  <c r="L161" i="1"/>
  <c r="L85" i="1"/>
  <c r="L118" i="1"/>
  <c r="L119" i="1"/>
  <c r="L213" i="1"/>
  <c r="J42" i="1"/>
  <c r="J9" i="1"/>
  <c r="J62" i="1"/>
  <c r="J145" i="1"/>
  <c r="J146" i="1"/>
  <c r="K144" i="1"/>
  <c r="K146" i="1"/>
  <c r="L144" i="1"/>
  <c r="L146" i="1"/>
  <c r="M144" i="1"/>
  <c r="M146" i="1"/>
  <c r="M101" i="1"/>
  <c r="M105" i="1"/>
  <c r="I183" i="1"/>
  <c r="I195" i="1"/>
  <c r="I17" i="1"/>
  <c r="I18" i="1"/>
  <c r="I20" i="1"/>
  <c r="I158" i="1"/>
  <c r="I162" i="1"/>
  <c r="I198" i="1"/>
  <c r="I200" i="1"/>
  <c r="I205" i="1"/>
  <c r="I180" i="1"/>
  <c r="I181" i="1"/>
  <c r="J179" i="1"/>
  <c r="J181" i="1"/>
  <c r="K179" i="1"/>
  <c r="K181" i="1"/>
  <c r="L179" i="1"/>
  <c r="L181" i="1"/>
  <c r="M179" i="1"/>
  <c r="M181" i="1"/>
  <c r="M94" i="1"/>
  <c r="L42" i="1"/>
  <c r="L9" i="1"/>
  <c r="L11" i="1"/>
  <c r="L15" i="1"/>
  <c r="L209" i="1"/>
  <c r="L211" i="1"/>
  <c r="L215" i="1"/>
  <c r="L216" i="1"/>
  <c r="M19" i="1"/>
  <c r="M11" i="1"/>
  <c r="M15" i="1"/>
  <c r="M18" i="1"/>
  <c r="M80" i="1"/>
  <c r="L24" i="1"/>
  <c r="M24" i="1"/>
  <c r="M42" i="1"/>
  <c r="M9" i="1"/>
  <c r="M125" i="1"/>
  <c r="M164" i="1"/>
  <c r="M165" i="1"/>
  <c r="M199" i="1"/>
  <c r="K26" i="1"/>
  <c r="K25" i="1"/>
  <c r="J26" i="1"/>
  <c r="J25" i="1"/>
  <c r="J24" i="1"/>
  <c r="K24" i="1"/>
  <c r="K42" i="1"/>
  <c r="K9" i="1"/>
  <c r="K11" i="1"/>
  <c r="K15" i="1"/>
  <c r="K209" i="1"/>
  <c r="K210" i="1"/>
</calcChain>
</file>

<file path=xl/sharedStrings.xml><?xml version="1.0" encoding="utf-8"?>
<sst xmlns="http://schemas.openxmlformats.org/spreadsheetml/2006/main" count="233" uniqueCount="161">
  <si>
    <t>x</t>
    <phoneticPr fontId="2"/>
  </si>
  <si>
    <t>Base Case</t>
  </si>
  <si>
    <t>Upside Case</t>
  </si>
  <si>
    <t>Downside Case</t>
  </si>
  <si>
    <t>x</t>
    <phoneticPr fontId="2"/>
  </si>
  <si>
    <t>WACC</t>
    <phoneticPr fontId="2"/>
  </si>
  <si>
    <t>実績</t>
    <rPh sb="0" eb="2">
      <t>ジッセキ</t>
    </rPh>
    <phoneticPr fontId="2"/>
  </si>
  <si>
    <t>Evaluation Date</t>
  </si>
  <si>
    <t>stock prices</t>
  </si>
  <si>
    <t>Most recent fiscal year end</t>
  </si>
  <si>
    <t>unit</t>
  </si>
  <si>
    <t>Cyclical reference switch</t>
  </si>
  <si>
    <t>Case (1 → 3)</t>
  </si>
  <si>
    <t>Consolidated Statements of Income</t>
  </si>
  <si>
    <t>Net sales</t>
  </si>
  <si>
    <t>cost of sales</t>
  </si>
  <si>
    <t>Gross profit</t>
  </si>
  <si>
    <t>Selling, general and administrative expenses</t>
  </si>
  <si>
    <t>Other income</t>
  </si>
  <si>
    <t>Other Expenses</t>
  </si>
  <si>
    <t>Operating income</t>
  </si>
  <si>
    <t>financial revenue</t>
  </si>
  <si>
    <t>finance cost</t>
  </si>
  <si>
    <t>Income before income taxes</t>
  </si>
  <si>
    <t>Income tax expense</t>
  </si>
  <si>
    <t>net income</t>
  </si>
  <si>
    <t>Sales Analysis</t>
  </si>
  <si>
    <t>Semiconductor and Component Test System Business</t>
  </si>
  <si>
    <t>Sales growth rate</t>
  </si>
  <si>
    <t>Mechatronics Related Business</t>
  </si>
  <si>
    <t>Services and others</t>
  </si>
  <si>
    <t>Total Sales</t>
  </si>
  <si>
    <t>Cost Analysis</t>
  </si>
  <si>
    <t>Cost to sales ratio</t>
  </si>
  <si>
    <t>SG&amp;amp;A ratio</t>
  </si>
  <si>
    <t>Adjusted EBITDA</t>
  </si>
  <si>
    <t>-) Other income</t>
  </si>
  <si>
    <t>+) Other expenses</t>
  </si>
  <si>
    <t>+) Stock compensation expense</t>
  </si>
  <si>
    <t>+) Depreciation and amortization (excluding right-of-use assets)</t>
  </si>
  <si>
    <t>EBITDA</t>
  </si>
  <si>
    <t>Stock compensation expense/Net sales</t>
  </si>
  <si>
    <t>Management Indicators</t>
  </si>
  <si>
    <t>Operating Income Growth Rate</t>
  </si>
  <si>
    <t>Net Income Growth Rate</t>
  </si>
  <si>
    <t>Gross profit/Net sales</t>
  </si>
  <si>
    <t>Operating Income/Sales</t>
  </si>
  <si>
    <t>Net Income/Sales</t>
  </si>
  <si>
    <t>EBITDA/Sales</t>
  </si>
  <si>
    <t>ROIC</t>
  </si>
  <si>
    <t>ROE</t>
  </si>
  <si>
    <t>ROA</t>
  </si>
  <si>
    <t>consolidated statement of financial position</t>
  </si>
  <si>
    <t>Cash and cash equivalents</t>
  </si>
  <si>
    <t>Trade and other receivables</t>
  </si>
  <si>
    <t>inventories</t>
  </si>
  <si>
    <t>Other current assets</t>
  </si>
  <si>
    <t>property, plant and equipment</t>
  </si>
  <si>
    <t>Goodwill and intangible assets</t>
  </si>
  <si>
    <t>Other non-current assets</t>
  </si>
  <si>
    <t>total assets</t>
  </si>
  <si>
    <t>Trade and other payables</t>
  </si>
  <si>
    <t>Short-term debt</t>
  </si>
  <si>
    <t>Other current liabilities</t>
  </si>
  <si>
    <t>Long-term debt</t>
  </si>
  <si>
    <t>Other non-current liabilities</t>
  </si>
  <si>
    <t>total liabilities</t>
  </si>
  <si>
    <t>capital stock</t>
  </si>
  <si>
    <t>Capital surplus</t>
  </si>
  <si>
    <t>treasury stock</t>
  </si>
  <si>
    <t>Retained earnings</t>
  </si>
  <si>
    <t>Other components of equity</t>
  </si>
  <si>
    <t>total equity</t>
  </si>
  <si>
    <t>Total liabilities and equity</t>
  </si>
  <si>
    <t>check</t>
  </si>
  <si>
    <t>working capital</t>
  </si>
  <si>
    <t>Turnover days of trade receivables</t>
  </si>
  <si>
    <t>Inventory turnover days</t>
  </si>
  <si>
    <t>Other current assets/Net sales</t>
  </si>
  <si>
    <t>Number of days of turnover of trade and other payables</t>
  </si>
  <si>
    <t>Other current liabilities/Net sales</t>
  </si>
  <si>
    <t>Other non-current liabilities/Net sales</t>
  </si>
  <si>
    <t>actual tax rate</t>
  </si>
  <si>
    <t>Net working capital</t>
  </si>
  <si>
    <t>Net working capital change</t>
  </si>
  <si>
    <t>Schedule of Property, Plant and Equipment, Goodwill and Intangible Assets</t>
  </si>
  <si>
    <t>Balance at beginning of term</t>
  </si>
  <si>
    <t>New Acquisition</t>
  </si>
  <si>
    <t>Depreciation and amortization</t>
  </si>
  <si>
    <t>Balance at end of year</t>
  </si>
  <si>
    <t>New acquisitions/Net sales</t>
  </si>
  <si>
    <t>Depreciation/ beginning balance</t>
  </si>
  <si>
    <t>depreciation expense</t>
  </si>
  <si>
    <t>Amortization/ beginning balance</t>
  </si>
  <si>
    <t>capital schedule</t>
  </si>
  <si>
    <t>Stock compensation expense</t>
  </si>
  <si>
    <t>dividend</t>
  </si>
  <si>
    <t>Dividend payout ratio</t>
  </si>
  <si>
    <t>Consolidated Statements of Cash Flows</t>
  </si>
  <si>
    <t>Change in working capital</t>
  </si>
  <si>
    <t>Operating Cash Flow</t>
  </si>
  <si>
    <t>capital investment</t>
  </si>
  <si>
    <t>Investment Cash Flow</t>
  </si>
  <si>
    <t>Increase (Decrease) in Loans Payable</t>
  </si>
  <si>
    <t>Acquisition of treasury stock</t>
  </si>
  <si>
    <t>Financial Cash Flow</t>
  </si>
  <si>
    <t>net cash flow</t>
  </si>
  <si>
    <t>Interest-Bearing Debt Schedule</t>
  </si>
  <si>
    <t>Borrowing / (Repayment)</t>
  </si>
  <si>
    <t>interest rate</t>
  </si>
  <si>
    <t>interest expense</t>
  </si>
  <si>
    <t>Cash flow difference</t>
  </si>
  <si>
    <t>Cash and cash equivalents at beginning of period</t>
  </si>
  <si>
    <t>minimum cash</t>
  </si>
  <si>
    <t>Repayment of long-term debt</t>
  </si>
  <si>
    <t>Amount appropriated for short-term borrowings</t>
  </si>
  <si>
    <t>Calculation of free cash flow</t>
  </si>
  <si>
    <t>Taxes on operating income</t>
  </si>
  <si>
    <t>NOPAT</t>
  </si>
  <si>
    <t>free cash flow</t>
  </si>
  <si>
    <t>Free Cash Flow Growth Rate</t>
  </si>
  <si>
    <t>discount factor</t>
  </si>
  <si>
    <t>Discount period</t>
  </si>
  <si>
    <t>midterm (mid-season) adjustment</t>
  </si>
  <si>
    <t>discount rate</t>
  </si>
  <si>
    <t>Calculation of cost of capital</t>
  </si>
  <si>
    <t>Calculation of cost of debt</t>
  </si>
  <si>
    <t>Average interest-bearing debt</t>
  </si>
  <si>
    <t>pretax cost of debt</t>
  </si>
  <si>
    <t>tax rate</t>
  </si>
  <si>
    <t>after-tax debt cost</t>
  </si>
  <si>
    <t>Calculation of cost of capital (CAPM model)</t>
  </si>
  <si>
    <t>risk-free rate</t>
  </si>
  <si>
    <t>beta</t>
  </si>
  <si>
    <t>market risk premium</t>
  </si>
  <si>
    <t>cost of equity</t>
  </si>
  <si>
    <t>interest-bearing debt</t>
  </si>
  <si>
    <t>market capitalization</t>
  </si>
  <si>
    <t>total amount</t>
  </si>
  <si>
    <t>weighted average cost of capital</t>
  </si>
  <si>
    <t>Total number of shares issued and outstanding</t>
  </si>
  <si>
    <t>Total number of shares issued and outstanding (excluding treasury stock)</t>
  </si>
  <si>
    <t>DCF valuation</t>
  </si>
  <si>
    <t>Present value of free cash flow</t>
  </si>
  <si>
    <t>perpetual growth rate</t>
  </si>
  <si>
    <t>Free cash flow in final year x perpetual growth rate</t>
  </si>
  <si>
    <t>terminal value</t>
  </si>
  <si>
    <t>Present value of terminal value</t>
  </si>
  <si>
    <t>Business Value</t>
  </si>
  <si>
    <t>-)Interest-bearing debt</t>
  </si>
  <si>
    <t>+) Cash and cash equivalents</t>
  </si>
  <si>
    <t>+) Capital instruments</t>
  </si>
  <si>
    <t>Shareholder Value</t>
  </si>
  <si>
    <t>Effect of dilution</t>
  </si>
  <si>
    <t>Diluted number of shares outstanding</t>
  </si>
  <si>
    <t>Value per share</t>
  </si>
  <si>
    <t>sensitivity analysis (e.g. in simulations)</t>
  </si>
  <si>
    <t>prediction</t>
  </si>
  <si>
    <t>1. Fill in the blue text</t>
  </si>
  <si>
    <t>$</t>
  </si>
  <si>
    <t>Master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</si>
</sst>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yyyy&quot;A&quot;_)"/>
    <numFmt numFmtId="165" formatCode="#,##0_);\(#,##0\);\–_);@_)"/>
    <numFmt numFmtId="166" formatCode="mm/dd/yy_)"/>
    <numFmt numFmtId="167" formatCode="yyyy&quot;E&quot;_)"/>
    <numFmt numFmtId="168" formatCode="0.0%"/>
    <numFmt numFmtId="169" formatCode="#,##0.0;[Red]\-#,##0.0"/>
    <numFmt numFmtId="170" formatCode="&quot;Year&quot;\ 0_)"/>
    <numFmt numFmtId="171" formatCode="0.000%"/>
    <numFmt numFmtId="172" formatCode="#,##0.0_);\(#,##0.0\)"/>
  </numFmts>
  <fonts count="21" x14ac:knownFonts="1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0"/>
      <color theme="1"/>
      <name val="Calibri"/>
      <family val="2"/>
      <charset val="128"/>
      <scheme val="minor"/>
    </font>
    <font>
      <sz val="10"/>
      <color theme="1"/>
      <name val="Calibri"/>
      <family val="3"/>
      <charset val="12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128"/>
      <scheme val="minor"/>
    </font>
    <font>
      <sz val="10"/>
      <name val="Calibri"/>
      <family val="3"/>
      <charset val="128"/>
      <scheme val="minor"/>
    </font>
    <font>
      <sz val="10"/>
      <color rgb="FF0000FF"/>
      <name val="Calibri"/>
      <family val="2"/>
      <charset val="128"/>
      <scheme val="minor"/>
    </font>
    <font>
      <sz val="10"/>
      <color rgb="FF0000FF"/>
      <name val="Calibri"/>
      <family val="3"/>
      <charset val="128"/>
      <scheme val="minor"/>
    </font>
    <font>
      <b/>
      <sz val="10"/>
      <color theme="1"/>
      <name val="Calibri"/>
      <family val="3"/>
      <charset val="128"/>
      <scheme val="minor"/>
    </font>
    <font>
      <i/>
      <sz val="10"/>
      <color theme="1"/>
      <name val="Calibri"/>
      <family val="3"/>
      <charset val="128"/>
      <scheme val="minor"/>
    </font>
    <font>
      <b/>
      <i/>
      <sz val="10"/>
      <color theme="1"/>
      <name val="Calibri"/>
      <family val="3"/>
      <charset val="128"/>
      <scheme val="minor"/>
    </font>
    <font>
      <i/>
      <sz val="10"/>
      <color rgb="FF0000FF"/>
      <name val="Calibri"/>
      <family val="3"/>
      <charset val="128"/>
      <scheme val="minor"/>
    </font>
    <font>
      <i/>
      <sz val="10"/>
      <name val="Calibri"/>
      <family val="3"/>
      <charset val="128"/>
      <scheme val="minor"/>
    </font>
    <font>
      <sz val="10"/>
      <color theme="0" tint="-4.9989318521683403E-2"/>
      <name val="Calibri"/>
      <family val="2"/>
      <charset val="128"/>
      <scheme val="minor"/>
    </font>
    <font>
      <sz val="10"/>
      <color theme="0"/>
      <name val="Calibri"/>
      <family val="2"/>
      <charset val="128"/>
      <scheme val="minor"/>
    </font>
    <font>
      <sz val="10"/>
      <color theme="0"/>
      <name val="Calibri"/>
      <family val="3"/>
      <charset val="128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3" fillId="2" borderId="0" xfId="0" applyFont="1" applyFill="1">
      <alignment vertical="center"/>
    </xf>
    <xf numFmtId="164" fontId="5" fillId="2" borderId="1" xfId="0" applyNumberFormat="1" applyFont="1" applyFill="1" applyBorder="1" applyAlignment="1">
      <alignment horizontal="centerContinuous"/>
    </xf>
    <xf numFmtId="165" fontId="5" fillId="2" borderId="1" xfId="0" applyNumberFormat="1" applyFont="1" applyFill="1" applyBorder="1" applyAlignment="1">
      <alignment horizontal="centerContinuous"/>
    </xf>
    <xf numFmtId="167" fontId="5" fillId="2" borderId="1" xfId="0" applyNumberFormat="1" applyFont="1" applyFill="1" applyBorder="1" applyAlignment="1">
      <alignment horizontal="centerContinuous"/>
    </xf>
    <xf numFmtId="164" fontId="5" fillId="2" borderId="1" xfId="0" applyNumberFormat="1" applyFont="1" applyFill="1" applyBorder="1" applyAlignment="1">
      <alignment horizontal="center"/>
    </xf>
    <xf numFmtId="167" fontId="5" fillId="2" borderId="1" xfId="0" applyNumberFormat="1" applyFont="1" applyFill="1" applyBorder="1" applyAlignment="1">
      <alignment horizontal="center"/>
    </xf>
    <xf numFmtId="166" fontId="6" fillId="2" borderId="2" xfId="0" applyNumberFormat="1" applyFont="1" applyFill="1" applyBorder="1" applyAlignment="1">
      <alignment horizontal="center"/>
    </xf>
    <xf numFmtId="166" fontId="6" fillId="2" borderId="3" xfId="0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>
      <alignment horizontal="center"/>
    </xf>
    <xf numFmtId="37" fontId="3" fillId="2" borderId="0" xfId="0" applyNumberFormat="1" applyFont="1" applyFill="1">
      <alignment vertical="center"/>
    </xf>
    <xf numFmtId="37" fontId="10" fillId="2" borderId="0" xfId="0" applyNumberFormat="1" applyFont="1" applyFill="1">
      <alignment vertical="center"/>
    </xf>
    <xf numFmtId="37" fontId="9" fillId="2" borderId="0" xfId="0" applyNumberFormat="1" applyFont="1" applyFill="1">
      <alignment vertical="center"/>
    </xf>
    <xf numFmtId="0" fontId="11" fillId="2" borderId="0" xfId="0" applyFont="1" applyFill="1">
      <alignment vertical="center"/>
    </xf>
    <xf numFmtId="37" fontId="11" fillId="2" borderId="0" xfId="0" applyNumberFormat="1" applyFont="1" applyFill="1">
      <alignment vertical="center"/>
    </xf>
    <xf numFmtId="38" fontId="11" fillId="2" borderId="0" xfId="1" applyFont="1" applyFill="1">
      <alignment vertical="center"/>
    </xf>
    <xf numFmtId="38" fontId="3" fillId="2" borderId="0" xfId="1" applyFont="1" applyFill="1">
      <alignment vertical="center"/>
    </xf>
    <xf numFmtId="0" fontId="4" fillId="2" borderId="0" xfId="0" applyFont="1" applyFill="1">
      <alignment vertical="center"/>
    </xf>
    <xf numFmtId="38" fontId="4" fillId="2" borderId="0" xfId="1" applyFont="1" applyFill="1">
      <alignment vertical="center"/>
    </xf>
    <xf numFmtId="168" fontId="3" fillId="2" borderId="0" xfId="2" applyNumberFormat="1" applyFont="1" applyFill="1">
      <alignment vertical="center"/>
    </xf>
    <xf numFmtId="37" fontId="4" fillId="2" borderId="0" xfId="0" applyNumberFormat="1" applyFont="1" applyFill="1">
      <alignment vertical="center"/>
    </xf>
    <xf numFmtId="168" fontId="9" fillId="2" borderId="0" xfId="2" applyNumberFormat="1" applyFont="1" applyFill="1">
      <alignment vertical="center"/>
    </xf>
    <xf numFmtId="38" fontId="9" fillId="2" borderId="0" xfId="1" applyFont="1" applyFill="1">
      <alignment vertical="center"/>
    </xf>
    <xf numFmtId="168" fontId="7" fillId="2" borderId="0" xfId="2" applyNumberFormat="1" applyFont="1" applyFill="1">
      <alignment vertical="center"/>
    </xf>
    <xf numFmtId="168" fontId="8" fillId="2" borderId="0" xfId="2" applyNumberFormat="1" applyFont="1" applyFill="1">
      <alignment vertical="center"/>
    </xf>
    <xf numFmtId="168" fontId="4" fillId="2" borderId="0" xfId="2" applyNumberFormat="1" applyFont="1" applyFill="1">
      <alignment vertical="center"/>
    </xf>
    <xf numFmtId="0" fontId="3" fillId="2" borderId="0" xfId="0" quotePrefix="1" applyFont="1" applyFill="1">
      <alignment vertical="center"/>
    </xf>
    <xf numFmtId="37" fontId="10" fillId="2" borderId="0" xfId="1" applyNumberFormat="1" applyFont="1" applyFill="1">
      <alignment vertical="center"/>
    </xf>
    <xf numFmtId="37" fontId="3" fillId="2" borderId="0" xfId="1" applyNumberFormat="1" applyFont="1" applyFill="1">
      <alignment vertical="center"/>
    </xf>
    <xf numFmtId="169" fontId="3" fillId="2" borderId="0" xfId="1" applyNumberFormat="1" applyFont="1" applyFill="1">
      <alignment vertical="center"/>
    </xf>
    <xf numFmtId="168" fontId="10" fillId="2" borderId="0" xfId="2" applyNumberFormat="1" applyFont="1" applyFill="1">
      <alignment vertical="center"/>
    </xf>
    <xf numFmtId="9" fontId="3" fillId="2" borderId="0" xfId="0" applyNumberFormat="1" applyFont="1" applyFill="1">
      <alignment vertical="center"/>
    </xf>
    <xf numFmtId="37" fontId="9" fillId="2" borderId="0" xfId="1" applyNumberFormat="1" applyFont="1" applyFill="1">
      <alignment vertical="center"/>
    </xf>
    <xf numFmtId="168" fontId="9" fillId="2" borderId="0" xfId="0" applyNumberFormat="1" applyFont="1" applyFill="1">
      <alignment vertical="center"/>
    </xf>
    <xf numFmtId="9" fontId="3" fillId="2" borderId="0" xfId="2" applyFont="1" applyFill="1">
      <alignment vertical="center"/>
    </xf>
    <xf numFmtId="37" fontId="11" fillId="2" borderId="0" xfId="1" applyNumberFormat="1" applyFont="1" applyFill="1">
      <alignment vertical="center"/>
    </xf>
    <xf numFmtId="0" fontId="3" fillId="2" borderId="5" xfId="0" applyFont="1" applyFill="1" applyBorder="1">
      <alignment vertical="center"/>
    </xf>
    <xf numFmtId="37" fontId="3" fillId="2" borderId="0" xfId="2" applyNumberFormat="1" applyFont="1" applyFill="1">
      <alignment vertical="center"/>
    </xf>
    <xf numFmtId="0" fontId="3" fillId="2" borderId="0" xfId="0" applyFont="1" applyFill="1" applyAlignment="1">
      <alignment horizontal="left" vertical="center" indent="1"/>
    </xf>
    <xf numFmtId="170" fontId="3" fillId="2" borderId="0" xfId="0" applyNumberFormat="1" applyFont="1" applyFill="1">
      <alignment vertical="center"/>
    </xf>
    <xf numFmtId="10" fontId="3" fillId="2" borderId="0" xfId="2" applyNumberFormat="1" applyFont="1" applyFill="1">
      <alignment vertical="center"/>
    </xf>
    <xf numFmtId="14" fontId="3" fillId="2" borderId="0" xfId="0" applyNumberFormat="1" applyFont="1" applyFill="1">
      <alignment vertical="center"/>
    </xf>
    <xf numFmtId="168" fontId="3" fillId="2" borderId="0" xfId="0" applyNumberFormat="1" applyFont="1" applyFill="1">
      <alignment vertical="center"/>
    </xf>
    <xf numFmtId="171" fontId="9" fillId="2" borderId="0" xfId="2" applyNumberFormat="1" applyFont="1" applyFill="1">
      <alignment vertical="center"/>
    </xf>
    <xf numFmtId="40" fontId="9" fillId="2" borderId="0" xfId="1" applyNumberFormat="1" applyFont="1" applyFill="1">
      <alignment vertical="center"/>
    </xf>
    <xf numFmtId="0" fontId="12" fillId="2" borderId="0" xfId="0" applyFont="1" applyFill="1" applyAlignment="1">
      <alignment horizontal="left" vertical="center" indent="1"/>
    </xf>
    <xf numFmtId="37" fontId="12" fillId="2" borderId="0" xfId="0" applyNumberFormat="1" applyFont="1" applyFill="1">
      <alignment vertical="center"/>
    </xf>
    <xf numFmtId="9" fontId="12" fillId="2" borderId="0" xfId="2" applyFont="1" applyFill="1">
      <alignment vertical="center"/>
    </xf>
    <xf numFmtId="0" fontId="13" fillId="2" borderId="0" xfId="0" applyFont="1" applyFill="1">
      <alignment vertical="center"/>
    </xf>
    <xf numFmtId="0" fontId="4" fillId="2" borderId="0" xfId="0" applyFont="1" applyFill="1" applyAlignment="1">
      <alignment horizontal="left" vertical="center" indent="1"/>
    </xf>
    <xf numFmtId="172" fontId="4" fillId="2" borderId="0" xfId="0" applyNumberFormat="1" applyFont="1" applyFill="1">
      <alignment vertical="center"/>
    </xf>
    <xf numFmtId="39" fontId="4" fillId="2" borderId="0" xfId="0" applyNumberFormat="1" applyFont="1" applyFill="1">
      <alignment vertical="center"/>
    </xf>
    <xf numFmtId="0" fontId="3" fillId="2" borderId="6" xfId="0" applyFont="1" applyFill="1" applyBorder="1">
      <alignment vertical="center"/>
    </xf>
    <xf numFmtId="0" fontId="3" fillId="2" borderId="1" xfId="0" applyFont="1" applyFill="1" applyBorder="1">
      <alignment vertical="center"/>
    </xf>
    <xf numFmtId="10" fontId="3" fillId="2" borderId="7" xfId="2" applyNumberFormat="1" applyFont="1" applyFill="1" applyBorder="1">
      <alignment vertical="center"/>
    </xf>
    <xf numFmtId="0" fontId="3" fillId="2" borderId="8" xfId="0" applyFont="1" applyFill="1" applyBorder="1">
      <alignment vertical="center"/>
    </xf>
    <xf numFmtId="38" fontId="3" fillId="2" borderId="8" xfId="1" applyFont="1" applyFill="1" applyBorder="1">
      <alignment vertical="center"/>
    </xf>
    <xf numFmtId="38" fontId="3" fillId="2" borderId="0" xfId="0" applyNumberFormat="1" applyFont="1" applyFill="1">
      <alignment vertical="center"/>
    </xf>
    <xf numFmtId="0" fontId="3" fillId="2" borderId="8" xfId="0" quotePrefix="1" applyFont="1" applyFill="1" applyBorder="1">
      <alignment vertical="center"/>
    </xf>
    <xf numFmtId="37" fontId="3" fillId="2" borderId="8" xfId="0" applyNumberFormat="1" applyFont="1" applyFill="1" applyBorder="1">
      <alignment vertical="center"/>
    </xf>
    <xf numFmtId="168" fontId="3" fillId="2" borderId="8" xfId="2" applyNumberFormat="1" applyFont="1" applyFill="1" applyBorder="1">
      <alignment vertical="center"/>
    </xf>
    <xf numFmtId="37" fontId="3" fillId="2" borderId="8" xfId="1" applyNumberFormat="1" applyFont="1" applyFill="1" applyBorder="1">
      <alignment vertical="center"/>
    </xf>
    <xf numFmtId="9" fontId="9" fillId="2" borderId="0" xfId="0" applyNumberFormat="1" applyFont="1" applyFill="1">
      <alignment vertical="center"/>
    </xf>
    <xf numFmtId="37" fontId="9" fillId="2" borderId="8" xfId="0" applyNumberFormat="1" applyFont="1" applyFill="1" applyBorder="1">
      <alignment vertical="center"/>
    </xf>
    <xf numFmtId="38" fontId="3" fillId="2" borderId="7" xfId="1" applyFont="1" applyFill="1" applyBorder="1">
      <alignment vertical="center"/>
    </xf>
    <xf numFmtId="38" fontId="3" fillId="2" borderId="10" xfId="1" applyFont="1" applyFill="1" applyBorder="1">
      <alignment vertical="center"/>
    </xf>
    <xf numFmtId="38" fontId="3" fillId="2" borderId="11" xfId="1" applyFont="1" applyFill="1" applyBorder="1">
      <alignment vertical="center"/>
    </xf>
    <xf numFmtId="38" fontId="3" fillId="2" borderId="12" xfId="1" applyFont="1" applyFill="1" applyBorder="1">
      <alignment vertical="center"/>
    </xf>
    <xf numFmtId="38" fontId="3" fillId="2" borderId="13" xfId="1" applyFont="1" applyFill="1" applyBorder="1">
      <alignment vertical="center"/>
    </xf>
    <xf numFmtId="38" fontId="3" fillId="2" borderId="14" xfId="1" applyFont="1" applyFill="1" applyBorder="1">
      <alignment vertical="center"/>
    </xf>
    <xf numFmtId="38" fontId="3" fillId="2" borderId="15" xfId="1" applyFont="1" applyFill="1" applyBorder="1">
      <alignment vertical="center"/>
    </xf>
    <xf numFmtId="38" fontId="3" fillId="2" borderId="19" xfId="1" applyFont="1" applyFill="1" applyBorder="1">
      <alignment vertical="center"/>
    </xf>
    <xf numFmtId="38" fontId="3" fillId="2" borderId="20" xfId="1" applyFont="1" applyFill="1" applyBorder="1">
      <alignment vertical="center"/>
    </xf>
    <xf numFmtId="38" fontId="3" fillId="2" borderId="21" xfId="1" applyFont="1" applyFill="1" applyBorder="1">
      <alignment vertical="center"/>
    </xf>
    <xf numFmtId="168" fontId="3" fillId="3" borderId="22" xfId="2" applyNumberFormat="1" applyFont="1" applyFill="1" applyBorder="1">
      <alignment vertical="center"/>
    </xf>
    <xf numFmtId="168" fontId="3" fillId="3" borderId="23" xfId="2" applyNumberFormat="1" applyFont="1" applyFill="1" applyBorder="1">
      <alignment vertical="center"/>
    </xf>
    <xf numFmtId="168" fontId="3" fillId="3" borderId="24" xfId="2" applyNumberFormat="1" applyFont="1" applyFill="1" applyBorder="1">
      <alignment vertical="center"/>
    </xf>
    <xf numFmtId="168" fontId="3" fillId="3" borderId="18" xfId="2" applyNumberFormat="1" applyFont="1" applyFill="1" applyBorder="1">
      <alignment vertical="center"/>
    </xf>
    <xf numFmtId="168" fontId="3" fillId="3" borderId="16" xfId="2" applyNumberFormat="1" applyFont="1" applyFill="1" applyBorder="1">
      <alignment vertical="center"/>
    </xf>
    <xf numFmtId="168" fontId="3" fillId="3" borderId="17" xfId="2" applyNumberFormat="1" applyFont="1" applyFill="1" applyBorder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8" xfId="0" applyFont="1" applyFill="1" applyBorder="1" applyAlignment="1">
      <alignment horizontal="left" vertical="center" indent="1"/>
    </xf>
    <xf numFmtId="37" fontId="10" fillId="2" borderId="8" xfId="0" applyNumberFormat="1" applyFont="1" applyFill="1" applyBorder="1">
      <alignment vertical="center"/>
    </xf>
    <xf numFmtId="0" fontId="11" fillId="2" borderId="8" xfId="0" applyFont="1" applyFill="1" applyBorder="1">
      <alignment vertical="center"/>
    </xf>
    <xf numFmtId="37" fontId="11" fillId="2" borderId="8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left" vertical="center" indent="1"/>
    </xf>
    <xf numFmtId="9" fontId="9" fillId="2" borderId="1" xfId="0" applyNumberFormat="1" applyFont="1" applyFill="1" applyBorder="1">
      <alignment vertical="center"/>
    </xf>
    <xf numFmtId="37" fontId="10" fillId="2" borderId="1" xfId="0" applyNumberFormat="1" applyFont="1" applyFill="1" applyBorder="1">
      <alignment vertical="center"/>
    </xf>
    <xf numFmtId="37" fontId="3" fillId="2" borderId="1" xfId="0" applyNumberFormat="1" applyFont="1" applyFill="1" applyBorder="1">
      <alignment vertical="center"/>
    </xf>
    <xf numFmtId="0" fontId="3" fillId="2" borderId="0" xfId="0" applyFont="1" applyFill="1" applyAlignment="1">
      <alignment horizontal="left" vertical="center" indent="2"/>
    </xf>
    <xf numFmtId="37" fontId="9" fillId="2" borderId="8" xfId="1" applyNumberFormat="1" applyFont="1" applyFill="1" applyBorder="1">
      <alignment vertical="center"/>
    </xf>
    <xf numFmtId="168" fontId="4" fillId="2" borderId="8" xfId="2" applyNumberFormat="1" applyFont="1" applyFill="1" applyBorder="1">
      <alignment vertical="center"/>
    </xf>
    <xf numFmtId="37" fontId="10" fillId="2" borderId="8" xfId="1" applyNumberFormat="1" applyFont="1" applyFill="1" applyBorder="1">
      <alignment vertical="center"/>
    </xf>
    <xf numFmtId="0" fontId="11" fillId="2" borderId="1" xfId="0" applyFont="1" applyFill="1" applyBorder="1">
      <alignment vertical="center"/>
    </xf>
    <xf numFmtId="37" fontId="11" fillId="2" borderId="1" xfId="1" applyNumberFormat="1" applyFont="1" applyFill="1" applyBorder="1">
      <alignment vertical="center"/>
    </xf>
    <xf numFmtId="0" fontId="12" fillId="2" borderId="0" xfId="0" applyFont="1" applyFill="1">
      <alignment vertical="center"/>
    </xf>
    <xf numFmtId="168" fontId="12" fillId="2" borderId="0" xfId="2" applyNumberFormat="1" applyFont="1" applyFill="1">
      <alignment vertical="center"/>
    </xf>
    <xf numFmtId="168" fontId="14" fillId="2" borderId="0" xfId="0" applyNumberFormat="1" applyFont="1" applyFill="1">
      <alignment vertical="center"/>
    </xf>
    <xf numFmtId="168" fontId="14" fillId="2" borderId="0" xfId="2" applyNumberFormat="1" applyFont="1" applyFill="1">
      <alignment vertical="center"/>
    </xf>
    <xf numFmtId="37" fontId="7" fillId="2" borderId="8" xfId="1" applyNumberFormat="1" applyFont="1" applyFill="1" applyBorder="1">
      <alignment vertical="center"/>
    </xf>
    <xf numFmtId="10" fontId="14" fillId="2" borderId="0" xfId="2" applyNumberFormat="1" applyFont="1" applyFill="1">
      <alignment vertical="center"/>
    </xf>
    <xf numFmtId="10" fontId="12" fillId="2" borderId="0" xfId="0" applyNumberFormat="1" applyFont="1" applyFill="1">
      <alignment vertical="center"/>
    </xf>
    <xf numFmtId="0" fontId="12" fillId="2" borderId="1" xfId="0" applyFont="1" applyFill="1" applyBorder="1" applyAlignment="1">
      <alignment horizontal="left" vertical="center" indent="1"/>
    </xf>
    <xf numFmtId="0" fontId="12" fillId="2" borderId="1" xfId="0" applyFont="1" applyFill="1" applyBorder="1">
      <alignment vertical="center"/>
    </xf>
    <xf numFmtId="168" fontId="12" fillId="2" borderId="1" xfId="2" applyNumberFormat="1" applyFont="1" applyFill="1" applyBorder="1">
      <alignment vertical="center"/>
    </xf>
    <xf numFmtId="38" fontId="12" fillId="2" borderId="0" xfId="1" applyFont="1" applyFill="1">
      <alignment vertical="center"/>
    </xf>
    <xf numFmtId="168" fontId="15" fillId="2" borderId="1" xfId="2" applyNumberFormat="1" applyFont="1" applyFill="1" applyBorder="1">
      <alignment vertical="center"/>
    </xf>
    <xf numFmtId="38" fontId="16" fillId="3" borderId="5" xfId="0" applyNumberFormat="1" applyFont="1" applyFill="1" applyBorder="1">
      <alignment vertical="center"/>
    </xf>
    <xf numFmtId="14" fontId="9" fillId="2" borderId="0" xfId="0" applyNumberFormat="1" applyFont="1" applyFill="1">
      <alignment vertical="center"/>
    </xf>
    <xf numFmtId="0" fontId="17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19" fillId="4" borderId="0" xfId="0" applyFont="1" applyFill="1">
      <alignment vertical="center"/>
    </xf>
    <xf numFmtId="166" fontId="18" fillId="4" borderId="0" xfId="0" applyNumberFormat="1" applyFont="1" applyFill="1" applyAlignment="1">
      <alignment horizontal="center"/>
    </xf>
    <xf numFmtId="37" fontId="18" fillId="4" borderId="0" xfId="0" applyNumberFormat="1" applyFont="1" applyFill="1">
      <alignment vertical="center"/>
    </xf>
    <xf numFmtId="10" fontId="9" fillId="2" borderId="8" xfId="2" applyNumberFormat="1" applyFont="1" applyFill="1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0" fillId="4" borderId="0" xfId="0" applyFont="1" applyFill="1">
      <alignment vertical="center"/>
    </xf>
    <xf numFmtId="38" fontId="3" fillId="0" borderId="0" xfId="1" applyFont="1" applyFill="1">
      <alignment vertical="center"/>
    </xf>
    <xf numFmtId="0" fontId="3" fillId="2" borderId="0" xfId="0" applyFont="1" applyFill="1" applyAlignment="1">
      <alignment horizontal="right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BDE34-EBFF-224C-B621-A930BE29E5F6}">
  <dimension ref="A2"/>
  <sheetViews>
    <sheetView workbookViewId="0">
      <selection activeCell="A3" sqref="A3"/>
    </sheetView>
  </sheetViews>
  <sheetFormatPr baseColWidth="10" defaultRowHeight="15" x14ac:dyDescent="0.2"/>
  <sheetData>
    <row r="2" spans="1:1" x14ac:dyDescent="0.2">
      <c r="A2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7E9D6-0D09-42F2-8712-38FBBEB16E53}">
  <dimension ref="A1:V252"/>
  <sheetViews>
    <sheetView tabSelected="1" zoomScaleNormal="80" workbookViewId="0">
      <pane ySplit="7" topLeftCell="A137" activePane="bottomLeft" state="frozen"/>
      <selection pane="bottomLeft"/>
    </sheetView>
  </sheetViews>
  <sheetFormatPr baseColWidth="10" defaultColWidth="8.6640625" defaultRowHeight="14" x14ac:dyDescent="0.2"/>
  <cols>
    <col min="1" max="1" width="2.5" style="1" bestFit="1" customWidth="1"/>
    <col min="2" max="2" width="28.83203125" style="1" customWidth="1"/>
    <col min="3" max="3" width="10.1640625" style="1" bestFit="1" customWidth="1"/>
    <col min="4" max="4" width="6.6640625" style="1" customWidth="1"/>
    <col min="5" max="5" width="5.33203125" style="1" customWidth="1"/>
    <col min="6" max="6" width="9.6640625" style="1" customWidth="1"/>
    <col min="7" max="13" width="10.1640625" style="1" customWidth="1"/>
    <col min="14" max="16384" width="8.6640625" style="1"/>
  </cols>
  <sheetData>
    <row r="1" spans="1:22" x14ac:dyDescent="0.2">
      <c r="A1" s="1" t="s">
        <v>0</v>
      </c>
      <c r="B1" s="117" t="s">
        <v>160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22" x14ac:dyDescent="0.2">
      <c r="B2" s="1" t="s">
        <v>7</v>
      </c>
      <c r="C2" s="108">
        <v>44742</v>
      </c>
    </row>
    <row r="3" spans="1:22" x14ac:dyDescent="0.2">
      <c r="B3" s="1" t="s">
        <v>8</v>
      </c>
      <c r="C3" s="22">
        <v>7260</v>
      </c>
    </row>
    <row r="4" spans="1:22" x14ac:dyDescent="0.2">
      <c r="B4" s="1" t="s">
        <v>9</v>
      </c>
      <c r="C4" s="108">
        <v>44651</v>
      </c>
    </row>
    <row r="5" spans="1:22" x14ac:dyDescent="0.2">
      <c r="B5" s="1" t="s">
        <v>10</v>
      </c>
      <c r="C5" s="119" t="s">
        <v>159</v>
      </c>
      <c r="F5" s="2" t="s">
        <v>6</v>
      </c>
      <c r="G5" s="3"/>
      <c r="H5" s="3"/>
      <c r="I5" s="4" t="s">
        <v>157</v>
      </c>
      <c r="J5" s="3"/>
      <c r="K5" s="3"/>
      <c r="L5" s="3"/>
      <c r="M5" s="3"/>
    </row>
    <row r="6" spans="1:22" x14ac:dyDescent="0.2">
      <c r="B6" s="1" t="s">
        <v>11</v>
      </c>
      <c r="C6" s="36">
        <v>1</v>
      </c>
      <c r="D6" s="1" t="str">
        <f>IF(C6=1,"ON","OFF")</f>
        <v>ON</v>
      </c>
      <c r="F6" s="5">
        <v>43921</v>
      </c>
      <c r="G6" s="5">
        <f t="shared" ref="G6:M6" si="0">+EOMONTH(F6,12)</f>
        <v>44286</v>
      </c>
      <c r="H6" s="5">
        <f t="shared" si="0"/>
        <v>44651</v>
      </c>
      <c r="I6" s="6">
        <f t="shared" si="0"/>
        <v>45016</v>
      </c>
      <c r="J6" s="6">
        <f t="shared" si="0"/>
        <v>45382</v>
      </c>
      <c r="K6" s="6">
        <f t="shared" si="0"/>
        <v>45747</v>
      </c>
      <c r="L6" s="6">
        <f t="shared" si="0"/>
        <v>46112</v>
      </c>
      <c r="M6" s="6">
        <f t="shared" si="0"/>
        <v>46477</v>
      </c>
    </row>
    <row r="7" spans="1:22" x14ac:dyDescent="0.2">
      <c r="B7" s="1" t="s">
        <v>12</v>
      </c>
      <c r="C7" s="36">
        <v>1</v>
      </c>
      <c r="D7" s="1" t="str">
        <f>+IF(C7=1,"Base",IF(C7=2,"Upside",IF(C7=3,"Downside","–")))</f>
        <v>Base</v>
      </c>
      <c r="F7" s="7">
        <v>43921</v>
      </c>
      <c r="G7" s="8">
        <v>44286</v>
      </c>
      <c r="H7" s="9">
        <v>44651</v>
      </c>
      <c r="I7" s="7">
        <f t="shared" ref="I7:M7" si="1">+I6</f>
        <v>45016</v>
      </c>
      <c r="J7" s="8">
        <f t="shared" si="1"/>
        <v>45382</v>
      </c>
      <c r="K7" s="8">
        <f t="shared" si="1"/>
        <v>45747</v>
      </c>
      <c r="L7" s="8">
        <f t="shared" si="1"/>
        <v>46112</v>
      </c>
      <c r="M7" s="9">
        <f t="shared" si="1"/>
        <v>46477</v>
      </c>
    </row>
    <row r="8" spans="1:22" x14ac:dyDescent="0.2">
      <c r="A8" s="1" t="s">
        <v>0</v>
      </c>
      <c r="B8" s="111" t="s">
        <v>13</v>
      </c>
      <c r="C8" s="110"/>
      <c r="D8" s="110"/>
      <c r="E8" s="110"/>
      <c r="F8" s="112"/>
      <c r="G8" s="112"/>
      <c r="H8" s="112"/>
      <c r="I8" s="110"/>
      <c r="J8" s="110"/>
      <c r="K8" s="110"/>
      <c r="L8" s="110"/>
      <c r="M8" s="110"/>
    </row>
    <row r="9" spans="1:22" x14ac:dyDescent="0.2">
      <c r="B9" s="1" t="s">
        <v>14</v>
      </c>
      <c r="F9" s="10">
        <f>F42</f>
        <v>275894</v>
      </c>
      <c r="G9" s="10">
        <f t="shared" ref="G9:H9" si="2">G42</f>
        <v>312789</v>
      </c>
      <c r="H9" s="10">
        <f t="shared" si="2"/>
        <v>416901</v>
      </c>
      <c r="I9" s="10">
        <f>I42</f>
        <v>510026.47499999998</v>
      </c>
      <c r="J9" s="10">
        <f t="shared" ref="J9:M9" ca="1" si="3">J42</f>
        <v>610709.27639999997</v>
      </c>
      <c r="K9" s="10">
        <f t="shared" ca="1" si="3"/>
        <v>715452.48343875003</v>
      </c>
      <c r="L9" s="10">
        <f t="shared" ca="1" si="3"/>
        <v>820239.90037033032</v>
      </c>
      <c r="M9" s="10">
        <f t="shared" ca="1" si="3"/>
        <v>921229.61902386451</v>
      </c>
    </row>
    <row r="10" spans="1:22" x14ac:dyDescent="0.2">
      <c r="B10" s="81" t="s">
        <v>15</v>
      </c>
      <c r="C10" s="55"/>
      <c r="D10" s="55"/>
      <c r="E10" s="55"/>
      <c r="F10" s="82">
        <v>-119397</v>
      </c>
      <c r="G10" s="82">
        <v>-144498</v>
      </c>
      <c r="H10" s="82">
        <v>-180994</v>
      </c>
      <c r="I10" s="59">
        <f>-I9*I47</f>
        <v>-219311.38424999997</v>
      </c>
      <c r="J10" s="59">
        <f ca="1">-J9*J47</f>
        <v>-265658.53523400001</v>
      </c>
      <c r="K10" s="59">
        <f ca="1">-K9*K47</f>
        <v>-314799.09271305002</v>
      </c>
      <c r="L10" s="59">
        <f ca="1">-L9*L47</f>
        <v>-365006.75566479698</v>
      </c>
      <c r="M10" s="59">
        <f ca="1">-M9*M47</f>
        <v>-414553.32856073906</v>
      </c>
    </row>
    <row r="11" spans="1:22" x14ac:dyDescent="0.2">
      <c r="B11" s="80" t="s">
        <v>16</v>
      </c>
      <c r="F11" s="10">
        <f t="shared" ref="F11:H11" si="4">SUM(F9:F10)</f>
        <v>156497</v>
      </c>
      <c r="G11" s="10">
        <f t="shared" si="4"/>
        <v>168291</v>
      </c>
      <c r="H11" s="10">
        <f t="shared" si="4"/>
        <v>235907</v>
      </c>
      <c r="I11" s="10">
        <f>SUM(I9:I10)</f>
        <v>290715.09074999997</v>
      </c>
      <c r="J11" s="10">
        <f t="shared" ref="J11:M11" ca="1" si="5">SUM(J9:J10)</f>
        <v>345050.74116599996</v>
      </c>
      <c r="K11" s="10">
        <f t="shared" ca="1" si="5"/>
        <v>400653.39072570001</v>
      </c>
      <c r="L11" s="10">
        <f t="shared" ca="1" si="5"/>
        <v>455233.14470553334</v>
      </c>
      <c r="M11" s="10">
        <f t="shared" ca="1" si="5"/>
        <v>506676.29046312545</v>
      </c>
    </row>
    <row r="12" spans="1:22" x14ac:dyDescent="0.2">
      <c r="B12" s="38" t="s">
        <v>17</v>
      </c>
      <c r="F12" s="11">
        <v>-97751</v>
      </c>
      <c r="G12" s="11">
        <v>-105870</v>
      </c>
      <c r="H12" s="11">
        <v>-121132</v>
      </c>
      <c r="I12" s="10">
        <f>-I9*I52</f>
        <v>-140563.29650999999</v>
      </c>
      <c r="J12" s="10">
        <f ca="1">-J9*J52</f>
        <v>-168311.47657584</v>
      </c>
      <c r="K12" s="10">
        <f ca="1">-K9*K52</f>
        <v>-197178.70443571953</v>
      </c>
      <c r="L12" s="10">
        <f ca="1">-L9*L52</f>
        <v>-226058.11654206304</v>
      </c>
      <c r="M12" s="10">
        <f ca="1">-M9*M52</f>
        <v>-253890.88300297706</v>
      </c>
    </row>
    <row r="13" spans="1:22" x14ac:dyDescent="0.2">
      <c r="B13" s="38" t="s">
        <v>18</v>
      </c>
      <c r="F13" s="11">
        <v>335</v>
      </c>
      <c r="G13" s="11">
        <v>8499</v>
      </c>
      <c r="H13" s="11">
        <v>606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</row>
    <row r="14" spans="1:22" x14ac:dyDescent="0.2">
      <c r="B14" s="81" t="s">
        <v>19</v>
      </c>
      <c r="C14" s="55"/>
      <c r="D14" s="55"/>
      <c r="E14" s="55"/>
      <c r="F14" s="82">
        <v>-373</v>
      </c>
      <c r="G14" s="82">
        <v>-194</v>
      </c>
      <c r="H14" s="82">
        <v>-647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</row>
    <row r="15" spans="1:22" s="13" customFormat="1" x14ac:dyDescent="0.2">
      <c r="B15" s="13" t="s">
        <v>20</v>
      </c>
      <c r="F15" s="14">
        <f t="shared" ref="F15:H15" si="6">SUM(F11:F14)</f>
        <v>58708</v>
      </c>
      <c r="G15" s="14">
        <f t="shared" si="6"/>
        <v>70726</v>
      </c>
      <c r="H15" s="14">
        <f t="shared" si="6"/>
        <v>114734</v>
      </c>
      <c r="I15" s="14">
        <f>SUM(I11:I14)</f>
        <v>150151.79423999999</v>
      </c>
      <c r="J15" s="14">
        <f t="shared" ref="J15:M15" ca="1" si="7">SUM(J11:J14)</f>
        <v>176739.26459015996</v>
      </c>
      <c r="K15" s="14">
        <f t="shared" ca="1" si="7"/>
        <v>203474.68628998048</v>
      </c>
      <c r="L15" s="14">
        <f t="shared" ca="1" si="7"/>
        <v>229175.0281634703</v>
      </c>
      <c r="M15" s="14">
        <f t="shared" ca="1" si="7"/>
        <v>252785.40746014839</v>
      </c>
      <c r="T15" s="15"/>
      <c r="U15" s="15"/>
      <c r="V15" s="15"/>
    </row>
    <row r="16" spans="1:22" x14ac:dyDescent="0.2">
      <c r="B16" s="38" t="s">
        <v>21</v>
      </c>
      <c r="F16" s="11">
        <v>1045</v>
      </c>
      <c r="G16" s="11">
        <v>767</v>
      </c>
      <c r="H16" s="11">
        <v>1912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T16" s="16"/>
      <c r="U16" s="16"/>
      <c r="V16" s="16"/>
    </row>
    <row r="17" spans="1:22" x14ac:dyDescent="0.2">
      <c r="B17" s="38" t="s">
        <v>22</v>
      </c>
      <c r="F17" s="11">
        <v>-1179</v>
      </c>
      <c r="G17" s="11">
        <v>-1875</v>
      </c>
      <c r="H17" s="11">
        <v>-303</v>
      </c>
      <c r="I17" s="10">
        <f ca="1">-I195</f>
        <v>-270.17894999999999</v>
      </c>
      <c r="J17" s="10">
        <f t="shared" ref="J17:M17" ca="1" si="8">-J195</f>
        <v>-79.5535</v>
      </c>
      <c r="K17" s="10">
        <f t="shared" ca="1" si="8"/>
        <v>0</v>
      </c>
      <c r="L17" s="10">
        <f t="shared" ca="1" si="8"/>
        <v>0</v>
      </c>
      <c r="M17" s="10">
        <f t="shared" ca="1" si="8"/>
        <v>0</v>
      </c>
      <c r="T17" s="16"/>
      <c r="U17" s="16"/>
      <c r="V17" s="16"/>
    </row>
    <row r="18" spans="1:22" s="13" customFormat="1" x14ac:dyDescent="0.2">
      <c r="B18" s="83" t="s">
        <v>23</v>
      </c>
      <c r="C18" s="83"/>
      <c r="D18" s="83"/>
      <c r="E18" s="83"/>
      <c r="F18" s="84">
        <f t="shared" ref="F18:M18" si="9">SUM(F15:F17)</f>
        <v>58574</v>
      </c>
      <c r="G18" s="84">
        <f t="shared" si="9"/>
        <v>69618</v>
      </c>
      <c r="H18" s="84">
        <f t="shared" si="9"/>
        <v>116343</v>
      </c>
      <c r="I18" s="84">
        <f t="shared" ca="1" si="9"/>
        <v>149881.61528999999</v>
      </c>
      <c r="J18" s="84">
        <f t="shared" ca="1" si="9"/>
        <v>176659.71109015995</v>
      </c>
      <c r="K18" s="84">
        <f t="shared" ca="1" si="9"/>
        <v>203474.68628998048</v>
      </c>
      <c r="L18" s="84">
        <f t="shared" ca="1" si="9"/>
        <v>229175.0281634703</v>
      </c>
      <c r="M18" s="84">
        <f t="shared" ca="1" si="9"/>
        <v>252785.40746014839</v>
      </c>
      <c r="P18" s="17"/>
      <c r="Q18" s="17"/>
      <c r="R18" s="17"/>
      <c r="S18" s="17"/>
      <c r="T18" s="18"/>
      <c r="U18" s="18"/>
      <c r="V18" s="18"/>
    </row>
    <row r="19" spans="1:22" x14ac:dyDescent="0.2">
      <c r="B19" s="85" t="s">
        <v>24</v>
      </c>
      <c r="C19" s="53"/>
      <c r="D19" s="86"/>
      <c r="E19" s="53"/>
      <c r="F19" s="87">
        <v>-5042</v>
      </c>
      <c r="G19" s="87">
        <v>169</v>
      </c>
      <c r="H19" s="87">
        <v>-29042</v>
      </c>
      <c r="I19" s="88">
        <f ca="1">-I18*I117</f>
        <v>-37470.403822499997</v>
      </c>
      <c r="J19" s="88">
        <f ca="1">-J18*J117</f>
        <v>-44164.927772539988</v>
      </c>
      <c r="K19" s="88">
        <f ca="1">-K18*K117</f>
        <v>-50868.671572495121</v>
      </c>
      <c r="L19" s="88">
        <f ca="1">-L18*L117</f>
        <v>-57293.757040867575</v>
      </c>
      <c r="M19" s="88">
        <f ca="1">-M18*M117</f>
        <v>-63196.351865037097</v>
      </c>
      <c r="P19" s="13"/>
      <c r="Q19" s="13"/>
      <c r="R19" s="13"/>
      <c r="S19" s="13"/>
      <c r="T19" s="15"/>
      <c r="U19" s="15"/>
      <c r="V19" s="15"/>
    </row>
    <row r="20" spans="1:22" s="13" customFormat="1" x14ac:dyDescent="0.2">
      <c r="B20" s="13" t="s">
        <v>25</v>
      </c>
      <c r="F20" s="14">
        <f t="shared" ref="F20:H20" si="10">SUM(F18:F19)</f>
        <v>53532</v>
      </c>
      <c r="G20" s="14">
        <f t="shared" si="10"/>
        <v>69787</v>
      </c>
      <c r="H20" s="14">
        <f t="shared" si="10"/>
        <v>87301</v>
      </c>
      <c r="I20" s="14">
        <f ca="1">SUM(I18:I19)</f>
        <v>112411.21146749999</v>
      </c>
      <c r="J20" s="14">
        <f t="shared" ref="J20:M20" ca="1" si="11">SUM(J18:J19)</f>
        <v>132494.78331761996</v>
      </c>
      <c r="K20" s="14">
        <f t="shared" ca="1" si="11"/>
        <v>152606.01471748535</v>
      </c>
      <c r="L20" s="14">
        <f t="shared" ca="1" si="11"/>
        <v>171881.27112260272</v>
      </c>
      <c r="M20" s="14">
        <f t="shared" ca="1" si="11"/>
        <v>189589.05559511128</v>
      </c>
      <c r="T20" s="15"/>
      <c r="U20" s="15"/>
      <c r="V20" s="15"/>
    </row>
    <row r="21" spans="1:22" x14ac:dyDescent="0.2">
      <c r="F21" s="37"/>
      <c r="G21" s="37"/>
      <c r="H21" s="37"/>
      <c r="I21" s="37"/>
      <c r="J21" s="37"/>
      <c r="K21" s="37"/>
      <c r="L21" s="37"/>
      <c r="M21" s="37"/>
      <c r="T21" s="16"/>
      <c r="U21" s="16"/>
      <c r="V21" s="16"/>
    </row>
    <row r="22" spans="1:22" x14ac:dyDescent="0.2">
      <c r="A22" s="1" t="s">
        <v>4</v>
      </c>
      <c r="B22" s="110" t="s">
        <v>26</v>
      </c>
      <c r="C22" s="110"/>
      <c r="D22" s="110"/>
      <c r="E22" s="110"/>
      <c r="F22" s="113"/>
      <c r="G22" s="113"/>
      <c r="H22" s="113"/>
      <c r="I22" s="113"/>
      <c r="J22" s="113"/>
      <c r="K22" s="113"/>
      <c r="L22" s="113"/>
      <c r="M22" s="113"/>
      <c r="T22" s="16"/>
      <c r="U22" s="16"/>
      <c r="V22" s="16"/>
    </row>
    <row r="23" spans="1:22" x14ac:dyDescent="0.2">
      <c r="F23" s="10"/>
      <c r="G23" s="20"/>
      <c r="H23" s="20"/>
      <c r="I23" s="19"/>
      <c r="J23" s="10"/>
      <c r="K23" s="10"/>
      <c r="L23" s="10"/>
      <c r="M23" s="10"/>
      <c r="T23" s="16"/>
      <c r="U23" s="16"/>
      <c r="V23" s="16"/>
    </row>
    <row r="24" spans="1:22" x14ac:dyDescent="0.2">
      <c r="B24" s="55" t="s">
        <v>27</v>
      </c>
      <c r="C24" s="55"/>
      <c r="D24" s="55"/>
      <c r="E24" s="55"/>
      <c r="F24" s="63">
        <v>197084</v>
      </c>
      <c r="G24" s="63">
        <v>206031</v>
      </c>
      <c r="H24" s="63">
        <v>288793</v>
      </c>
      <c r="I24" s="59">
        <f>+H24*(1+I25)</f>
        <v>355215.39</v>
      </c>
      <c r="J24" s="59">
        <f t="shared" ref="J24:M24" ca="1" si="12">+I24*(1+J25)</f>
        <v>423594.35257499997</v>
      </c>
      <c r="K24" s="59">
        <f t="shared" ca="1" si="12"/>
        <v>489251.477224125</v>
      </c>
      <c r="L24" s="59">
        <f t="shared" ca="1" si="12"/>
        <v>546738.52579795965</v>
      </c>
      <c r="M24" s="59">
        <f t="shared" ca="1" si="12"/>
        <v>590477.60786179651</v>
      </c>
      <c r="T24" s="16"/>
      <c r="U24" s="16"/>
      <c r="V24" s="16"/>
    </row>
    <row r="25" spans="1:22" s="95" customFormat="1" x14ac:dyDescent="0.2">
      <c r="B25" s="102" t="s">
        <v>28</v>
      </c>
      <c r="C25" s="103"/>
      <c r="D25" s="103"/>
      <c r="E25" s="103"/>
      <c r="F25" s="104"/>
      <c r="G25" s="104">
        <f>G24/F24-1</f>
        <v>4.5396886606726028E-2</v>
      </c>
      <c r="H25" s="104">
        <f>H24/G24-1</f>
        <v>0.40169683203013129</v>
      </c>
      <c r="I25" s="104">
        <f>CHOOSE($C$7,I26,I27,I28)</f>
        <v>0.23</v>
      </c>
      <c r="J25" s="104">
        <f t="shared" ref="J25:M25" ca="1" si="13">CHOOSE($C$7,J26,J27,J28)</f>
        <v>0.1925</v>
      </c>
      <c r="K25" s="104">
        <f t="shared" ca="1" si="13"/>
        <v>0.155</v>
      </c>
      <c r="L25" s="104">
        <f t="shared" ca="1" si="13"/>
        <v>0.11749999999999999</v>
      </c>
      <c r="M25" s="104">
        <f t="shared" si="13"/>
        <v>0.08</v>
      </c>
      <c r="T25" s="105"/>
      <c r="U25" s="105"/>
      <c r="V25" s="105"/>
    </row>
    <row r="26" spans="1:22" x14ac:dyDescent="0.2">
      <c r="B26" s="89" t="s">
        <v>1</v>
      </c>
      <c r="F26" s="19"/>
      <c r="G26" s="19"/>
      <c r="H26" s="19"/>
      <c r="I26" s="21">
        <v>0.23</v>
      </c>
      <c r="J26" s="23">
        <f ca="1">+I26-($I26-$M26)/COUNTA($I26:$L26)</f>
        <v>0.1925</v>
      </c>
      <c r="K26" s="23">
        <f t="shared" ref="K26:L26" ca="1" si="14">+J26-($I26-$M26)/COUNTA($I26:$L26)</f>
        <v>0.155</v>
      </c>
      <c r="L26" s="23">
        <f t="shared" ca="1" si="14"/>
        <v>0.11749999999999999</v>
      </c>
      <c r="M26" s="21">
        <v>0.08</v>
      </c>
      <c r="T26" s="16"/>
      <c r="U26" s="16"/>
      <c r="V26" s="16"/>
    </row>
    <row r="27" spans="1:22" x14ac:dyDescent="0.2">
      <c r="B27" s="89" t="s">
        <v>2</v>
      </c>
      <c r="F27" s="19"/>
      <c r="G27" s="19"/>
      <c r="H27" s="19"/>
      <c r="I27" s="21">
        <v>0.3</v>
      </c>
      <c r="J27" s="23">
        <f t="shared" ref="J27:L27" ca="1" si="15">+I27-($I27-$M27)/COUNTA($I27:$L27)</f>
        <v>0.255</v>
      </c>
      <c r="K27" s="23">
        <f t="shared" ca="1" si="15"/>
        <v>0.21000000000000002</v>
      </c>
      <c r="L27" s="23">
        <f t="shared" ca="1" si="15"/>
        <v>0.16500000000000004</v>
      </c>
      <c r="M27" s="21">
        <v>0.12</v>
      </c>
    </row>
    <row r="28" spans="1:22" x14ac:dyDescent="0.2">
      <c r="B28" s="89" t="s">
        <v>3</v>
      </c>
      <c r="F28" s="19"/>
      <c r="G28" s="19"/>
      <c r="H28" s="19"/>
      <c r="I28" s="21">
        <v>0.05</v>
      </c>
      <c r="J28" s="23">
        <f t="shared" ref="J28:L28" ca="1" si="16">+I28-($I28-$M28)/COUNTA($I28:$L28)</f>
        <v>0.04</v>
      </c>
      <c r="K28" s="23">
        <f t="shared" ca="1" si="16"/>
        <v>0.03</v>
      </c>
      <c r="L28" s="23">
        <f t="shared" ca="1" si="16"/>
        <v>1.9999999999999997E-2</v>
      </c>
      <c r="M28" s="21">
        <v>0.01</v>
      </c>
    </row>
    <row r="29" spans="1:22" x14ac:dyDescent="0.2">
      <c r="F29" s="10"/>
      <c r="G29" s="10"/>
      <c r="H29" s="10"/>
      <c r="I29" s="10"/>
      <c r="J29" s="10"/>
    </row>
    <row r="30" spans="1:22" x14ac:dyDescent="0.2">
      <c r="B30" s="55" t="s">
        <v>29</v>
      </c>
      <c r="C30" s="55"/>
      <c r="D30" s="55"/>
      <c r="E30" s="55"/>
      <c r="F30" s="63">
        <v>36293</v>
      </c>
      <c r="G30" s="63">
        <v>40005</v>
      </c>
      <c r="H30" s="63">
        <v>42305</v>
      </c>
      <c r="I30" s="59">
        <f>+H30*(1+I31)</f>
        <v>50131.425000000003</v>
      </c>
      <c r="J30" s="59">
        <f t="shared" ref="J30" si="17">+I30*(1+J31)</f>
        <v>59405.738625000005</v>
      </c>
      <c r="K30" s="59">
        <f t="shared" ref="K30" si="18">+J30*(1+K31)</f>
        <v>70395.800270625012</v>
      </c>
      <c r="L30" s="59">
        <f t="shared" ref="L30" si="19">+K30*(1+L31)</f>
        <v>83419.023320690641</v>
      </c>
      <c r="M30" s="59">
        <f t="shared" ref="M30" si="20">+L30*(1+M31)</f>
        <v>98851.542635018413</v>
      </c>
    </row>
    <row r="31" spans="1:22" s="95" customFormat="1" x14ac:dyDescent="0.2">
      <c r="B31" s="102" t="s">
        <v>28</v>
      </c>
      <c r="C31" s="103"/>
      <c r="D31" s="103"/>
      <c r="E31" s="103"/>
      <c r="F31" s="104"/>
      <c r="G31" s="104">
        <f>G30/F30-1</f>
        <v>0.10227867632876864</v>
      </c>
      <c r="H31" s="104">
        <f>H30/G30-1</f>
        <v>5.7492813398325238E-2</v>
      </c>
      <c r="I31" s="104">
        <f>CHOOSE($C$7,I32,I33,I34)</f>
        <v>0.185</v>
      </c>
      <c r="J31" s="104">
        <f t="shared" ref="J31:M31" si="21">CHOOSE($C$7,J32,J33,J34)</f>
        <v>0.185</v>
      </c>
      <c r="K31" s="104">
        <f t="shared" si="21"/>
        <v>0.185</v>
      </c>
      <c r="L31" s="104">
        <f t="shared" si="21"/>
        <v>0.185</v>
      </c>
      <c r="M31" s="104">
        <f t="shared" si="21"/>
        <v>0.185</v>
      </c>
    </row>
    <row r="32" spans="1:22" x14ac:dyDescent="0.2">
      <c r="B32" s="89" t="s">
        <v>1</v>
      </c>
      <c r="F32" s="19"/>
      <c r="G32" s="19"/>
      <c r="H32" s="19"/>
      <c r="I32" s="21">
        <v>0.185</v>
      </c>
      <c r="J32" s="21">
        <v>0.185</v>
      </c>
      <c r="K32" s="21">
        <v>0.185</v>
      </c>
      <c r="L32" s="21">
        <v>0.185</v>
      </c>
      <c r="M32" s="21">
        <v>0.185</v>
      </c>
    </row>
    <row r="33" spans="1:13" x14ac:dyDescent="0.2">
      <c r="B33" s="89" t="s">
        <v>2</v>
      </c>
      <c r="F33" s="19"/>
      <c r="G33" s="19"/>
      <c r="H33" s="19"/>
      <c r="I33" s="21">
        <v>0.25</v>
      </c>
      <c r="J33" s="21">
        <v>0.25</v>
      </c>
      <c r="K33" s="21">
        <v>0.25</v>
      </c>
      <c r="L33" s="21">
        <v>0.25</v>
      </c>
      <c r="M33" s="21">
        <v>0.25</v>
      </c>
    </row>
    <row r="34" spans="1:13" x14ac:dyDescent="0.2">
      <c r="B34" s="89" t="s">
        <v>3</v>
      </c>
      <c r="F34" s="19"/>
      <c r="G34" s="19"/>
      <c r="H34" s="19"/>
      <c r="I34" s="21">
        <v>0.05</v>
      </c>
      <c r="J34" s="21">
        <v>0.05</v>
      </c>
      <c r="K34" s="21">
        <v>0.05</v>
      </c>
      <c r="L34" s="21">
        <v>0.05</v>
      </c>
      <c r="M34" s="21">
        <v>0.05</v>
      </c>
    </row>
    <row r="35" spans="1:13" x14ac:dyDescent="0.2">
      <c r="F35" s="10"/>
      <c r="G35" s="10"/>
      <c r="H35" s="10"/>
      <c r="I35" s="10"/>
      <c r="J35" s="10"/>
    </row>
    <row r="36" spans="1:13" x14ac:dyDescent="0.2">
      <c r="B36" s="55" t="s">
        <v>30</v>
      </c>
      <c r="C36" s="55"/>
      <c r="D36" s="55"/>
      <c r="E36" s="55"/>
      <c r="F36" s="90">
        <v>42517</v>
      </c>
      <c r="G36" s="90">
        <v>66753</v>
      </c>
      <c r="H36" s="90">
        <v>85803</v>
      </c>
      <c r="I36" s="59">
        <f>+H36*(1+I37)</f>
        <v>104679.66</v>
      </c>
      <c r="J36" s="59">
        <f t="shared" ref="J36" si="22">+I36*(1+J37)</f>
        <v>127709.18520000001</v>
      </c>
      <c r="K36" s="59">
        <f t="shared" ref="K36" si="23">+J36*(1+K37)</f>
        <v>155805.20594400002</v>
      </c>
      <c r="L36" s="59">
        <f t="shared" ref="L36" si="24">+K36*(1+L37)</f>
        <v>190082.35125168003</v>
      </c>
      <c r="M36" s="59">
        <f t="shared" ref="M36" si="25">+L36*(1+M37)</f>
        <v>231900.46852704961</v>
      </c>
    </row>
    <row r="37" spans="1:13" s="95" customFormat="1" x14ac:dyDescent="0.2">
      <c r="B37" s="102" t="s">
        <v>28</v>
      </c>
      <c r="C37" s="103"/>
      <c r="D37" s="103"/>
      <c r="E37" s="103"/>
      <c r="F37" s="106"/>
      <c r="G37" s="104">
        <f>G36/F36-1</f>
        <v>0.57003081120492971</v>
      </c>
      <c r="H37" s="104">
        <f>H36/G36-1</f>
        <v>0.28538043234011945</v>
      </c>
      <c r="I37" s="104">
        <f>CHOOSE($C$7,I38,I39,I40)</f>
        <v>0.22</v>
      </c>
      <c r="J37" s="104">
        <f t="shared" ref="J37:M37" si="26">CHOOSE($C$7,J38,J39,J40)</f>
        <v>0.22</v>
      </c>
      <c r="K37" s="104">
        <f t="shared" si="26"/>
        <v>0.22</v>
      </c>
      <c r="L37" s="104">
        <f t="shared" si="26"/>
        <v>0.22</v>
      </c>
      <c r="M37" s="104">
        <f t="shared" si="26"/>
        <v>0.22</v>
      </c>
    </row>
    <row r="38" spans="1:13" x14ac:dyDescent="0.2">
      <c r="B38" s="89" t="s">
        <v>1</v>
      </c>
      <c r="F38" s="24"/>
      <c r="G38" s="24"/>
      <c r="H38" s="24"/>
      <c r="I38" s="21">
        <v>0.22</v>
      </c>
      <c r="J38" s="21">
        <v>0.22</v>
      </c>
      <c r="K38" s="21">
        <v>0.22</v>
      </c>
      <c r="L38" s="21">
        <v>0.22</v>
      </c>
      <c r="M38" s="21">
        <v>0.22</v>
      </c>
    </row>
    <row r="39" spans="1:13" x14ac:dyDescent="0.2">
      <c r="B39" s="89" t="s">
        <v>2</v>
      </c>
      <c r="F39" s="24"/>
      <c r="G39" s="24"/>
      <c r="H39" s="24"/>
      <c r="I39" s="21">
        <v>0.3</v>
      </c>
      <c r="J39" s="21">
        <v>0.3</v>
      </c>
      <c r="K39" s="21">
        <v>0.3</v>
      </c>
      <c r="L39" s="21">
        <v>0.3</v>
      </c>
      <c r="M39" s="21">
        <v>0.3</v>
      </c>
    </row>
    <row r="40" spans="1:13" x14ac:dyDescent="0.2">
      <c r="B40" s="89" t="s">
        <v>3</v>
      </c>
      <c r="F40" s="19"/>
      <c r="G40" s="19"/>
      <c r="H40" s="19"/>
      <c r="I40" s="21">
        <v>0.05</v>
      </c>
      <c r="J40" s="21">
        <v>0.05</v>
      </c>
      <c r="K40" s="21">
        <v>0.05</v>
      </c>
      <c r="L40" s="21">
        <v>0.05</v>
      </c>
      <c r="M40" s="21">
        <v>0.05</v>
      </c>
    </row>
    <row r="41" spans="1:13" x14ac:dyDescent="0.2">
      <c r="F41" s="10"/>
      <c r="G41" s="20"/>
      <c r="H41" s="20"/>
      <c r="I41" s="10"/>
      <c r="J41" s="10"/>
      <c r="K41" s="10"/>
      <c r="L41" s="10"/>
      <c r="M41" s="10"/>
    </row>
    <row r="42" spans="1:13" x14ac:dyDescent="0.2">
      <c r="B42" s="55" t="s">
        <v>31</v>
      </c>
      <c r="C42" s="55"/>
      <c r="D42" s="55"/>
      <c r="E42" s="55"/>
      <c r="F42" s="59">
        <f>F24+F30+F36</f>
        <v>275894</v>
      </c>
      <c r="G42" s="59">
        <f t="shared" ref="G42:M42" si="27">G24+G30+G36</f>
        <v>312789</v>
      </c>
      <c r="H42" s="59">
        <f t="shared" si="27"/>
        <v>416901</v>
      </c>
      <c r="I42" s="59">
        <f t="shared" si="27"/>
        <v>510026.47499999998</v>
      </c>
      <c r="J42" s="59">
        <f t="shared" ca="1" si="27"/>
        <v>610709.27639999997</v>
      </c>
      <c r="K42" s="59">
        <f t="shared" ca="1" si="27"/>
        <v>715452.48343875003</v>
      </c>
      <c r="L42" s="59">
        <f t="shared" ca="1" si="27"/>
        <v>820239.90037033032</v>
      </c>
      <c r="M42" s="59">
        <f t="shared" ca="1" si="27"/>
        <v>921229.61902386451</v>
      </c>
    </row>
    <row r="43" spans="1:13" s="95" customFormat="1" x14ac:dyDescent="0.2">
      <c r="B43" s="45" t="s">
        <v>28</v>
      </c>
      <c r="F43" s="96"/>
      <c r="G43" s="96">
        <f>G42/F42-1</f>
        <v>0.13372889588030179</v>
      </c>
      <c r="H43" s="96">
        <f>H42/G42-1</f>
        <v>0.33285057978381594</v>
      </c>
      <c r="I43" s="96">
        <f t="shared" ref="I43:M43" si="28">I42/H42-1</f>
        <v>0.22337551361114505</v>
      </c>
      <c r="J43" s="96">
        <f t="shared" ca="1" si="28"/>
        <v>0.19740700990080962</v>
      </c>
      <c r="K43" s="96">
        <f t="shared" ca="1" si="28"/>
        <v>0.17151075165615426</v>
      </c>
      <c r="L43" s="96">
        <f t="shared" ca="1" si="28"/>
        <v>0.14646313956159629</v>
      </c>
      <c r="M43" s="96">
        <f t="shared" ca="1" si="28"/>
        <v>0.12312217268135628</v>
      </c>
    </row>
    <row r="44" spans="1:13" x14ac:dyDescent="0.2">
      <c r="F44" s="10"/>
      <c r="G44" s="20"/>
      <c r="H44" s="20"/>
      <c r="I44" s="10"/>
      <c r="J44" s="10"/>
      <c r="K44" s="10"/>
      <c r="L44" s="10"/>
      <c r="M44" s="10"/>
    </row>
    <row r="45" spans="1:13" x14ac:dyDescent="0.2">
      <c r="A45" s="1" t="s">
        <v>4</v>
      </c>
      <c r="B45" s="110" t="s">
        <v>32</v>
      </c>
      <c r="C45" s="110"/>
      <c r="D45" s="110"/>
      <c r="E45" s="110"/>
      <c r="F45" s="113"/>
      <c r="G45" s="113"/>
      <c r="H45" s="113"/>
      <c r="I45" s="113"/>
      <c r="J45" s="113"/>
      <c r="K45" s="113"/>
      <c r="L45" s="113"/>
      <c r="M45" s="113"/>
    </row>
    <row r="46" spans="1:13" x14ac:dyDescent="0.2">
      <c r="F46" s="10"/>
      <c r="G46" s="20"/>
      <c r="H46" s="20"/>
      <c r="I46" s="10"/>
      <c r="J46" s="10"/>
      <c r="K46" s="10"/>
      <c r="L46" s="10"/>
      <c r="M46" s="10"/>
    </row>
    <row r="47" spans="1:13" x14ac:dyDescent="0.2">
      <c r="B47" s="55" t="s">
        <v>33</v>
      </c>
      <c r="C47" s="55"/>
      <c r="D47" s="55"/>
      <c r="E47" s="55"/>
      <c r="F47" s="91">
        <f>-F10/F9</f>
        <v>0.43276403256323082</v>
      </c>
      <c r="G47" s="91">
        <f>-G10/G9</f>
        <v>0.46196637349778924</v>
      </c>
      <c r="H47" s="91">
        <f>-H10/H9</f>
        <v>0.43414143885478806</v>
      </c>
      <c r="I47" s="60">
        <f>CHOOSE($C$7,I48,I49,I50)</f>
        <v>0.43</v>
      </c>
      <c r="J47" s="60">
        <f t="shared" ref="J47:M47" si="29">CHOOSE($C$7,J48,J49,J50)</f>
        <v>0.435</v>
      </c>
      <c r="K47" s="60">
        <f t="shared" si="29"/>
        <v>0.44</v>
      </c>
      <c r="L47" s="60">
        <f t="shared" si="29"/>
        <v>0.44500000000000001</v>
      </c>
      <c r="M47" s="60">
        <f t="shared" si="29"/>
        <v>0.45</v>
      </c>
    </row>
    <row r="48" spans="1:13" x14ac:dyDescent="0.2">
      <c r="B48" s="38" t="s">
        <v>1</v>
      </c>
      <c r="F48" s="19"/>
      <c r="G48" s="25"/>
      <c r="H48" s="25"/>
      <c r="I48" s="21">
        <v>0.43</v>
      </c>
      <c r="J48" s="23">
        <f>I48+0.005</f>
        <v>0.435</v>
      </c>
      <c r="K48" s="23">
        <f t="shared" ref="K48:M48" si="30">J48+0.005</f>
        <v>0.44</v>
      </c>
      <c r="L48" s="23">
        <f t="shared" si="30"/>
        <v>0.44500000000000001</v>
      </c>
      <c r="M48" s="23">
        <f t="shared" si="30"/>
        <v>0.45</v>
      </c>
    </row>
    <row r="49" spans="1:13" x14ac:dyDescent="0.2">
      <c r="B49" s="38" t="s">
        <v>2</v>
      </c>
      <c r="F49" s="19"/>
      <c r="G49" s="25"/>
      <c r="H49" s="25"/>
      <c r="I49" s="21">
        <v>0.4</v>
      </c>
      <c r="J49" s="23">
        <f t="shared" ref="J49:M49" si="31">I49+0.005</f>
        <v>0.40500000000000003</v>
      </c>
      <c r="K49" s="23">
        <f t="shared" si="31"/>
        <v>0.41000000000000003</v>
      </c>
      <c r="L49" s="23">
        <f t="shared" si="31"/>
        <v>0.41500000000000004</v>
      </c>
      <c r="M49" s="23">
        <f t="shared" si="31"/>
        <v>0.42000000000000004</v>
      </c>
    </row>
    <row r="50" spans="1:13" x14ac:dyDescent="0.2">
      <c r="B50" s="38" t="s">
        <v>3</v>
      </c>
      <c r="F50" s="19"/>
      <c r="G50" s="25"/>
      <c r="H50" s="25"/>
      <c r="I50" s="21">
        <v>0.46</v>
      </c>
      <c r="J50" s="23">
        <f t="shared" ref="J50:M50" si="32">I50+0.005</f>
        <v>0.46500000000000002</v>
      </c>
      <c r="K50" s="23">
        <f t="shared" si="32"/>
        <v>0.47000000000000003</v>
      </c>
      <c r="L50" s="23">
        <f t="shared" si="32"/>
        <v>0.47500000000000003</v>
      </c>
      <c r="M50" s="23">
        <f t="shared" si="32"/>
        <v>0.48000000000000004</v>
      </c>
    </row>
    <row r="51" spans="1:13" x14ac:dyDescent="0.2">
      <c r="F51" s="19"/>
      <c r="G51" s="25"/>
      <c r="H51" s="25"/>
      <c r="I51" s="19"/>
      <c r="J51" s="19"/>
      <c r="K51" s="19"/>
      <c r="L51" s="19"/>
      <c r="M51" s="19"/>
    </row>
    <row r="52" spans="1:13" x14ac:dyDescent="0.2">
      <c r="B52" s="55" t="s">
        <v>34</v>
      </c>
      <c r="C52" s="55"/>
      <c r="D52" s="55"/>
      <c r="E52" s="55"/>
      <c r="F52" s="60">
        <f>-F12/F9</f>
        <v>0.35430636403836258</v>
      </c>
      <c r="G52" s="60">
        <f>-G12/G9</f>
        <v>0.33847098203581327</v>
      </c>
      <c r="H52" s="60">
        <f>-H12/H9</f>
        <v>0.29055339277190506</v>
      </c>
      <c r="I52" s="60">
        <f>CHOOSE($C$7,I53,I54,I55)</f>
        <v>0.27560000000000001</v>
      </c>
      <c r="J52" s="60">
        <f t="shared" ref="J52:M52" si="33">CHOOSE($C$7,J53,J54,J55)</f>
        <v>0.27560000000000001</v>
      </c>
      <c r="K52" s="60">
        <f t="shared" si="33"/>
        <v>0.27560000000000001</v>
      </c>
      <c r="L52" s="60">
        <f t="shared" si="33"/>
        <v>0.27560000000000001</v>
      </c>
      <c r="M52" s="60">
        <f t="shared" si="33"/>
        <v>0.27560000000000001</v>
      </c>
    </row>
    <row r="53" spans="1:13" x14ac:dyDescent="0.2">
      <c r="B53" s="38" t="s">
        <v>1</v>
      </c>
      <c r="F53" s="19"/>
      <c r="G53" s="25"/>
      <c r="H53" s="25"/>
      <c r="I53" s="21">
        <v>0.27560000000000001</v>
      </c>
      <c r="J53" s="21">
        <v>0.27560000000000001</v>
      </c>
      <c r="K53" s="21">
        <v>0.27560000000000001</v>
      </c>
      <c r="L53" s="21">
        <v>0.27560000000000001</v>
      </c>
      <c r="M53" s="21">
        <v>0.27560000000000001</v>
      </c>
    </row>
    <row r="54" spans="1:13" x14ac:dyDescent="0.2">
      <c r="B54" s="38" t="s">
        <v>2</v>
      </c>
      <c r="F54" s="19"/>
      <c r="G54" s="25"/>
      <c r="H54" s="25"/>
      <c r="I54" s="21">
        <v>0.25</v>
      </c>
      <c r="J54" s="21">
        <v>0.25</v>
      </c>
      <c r="K54" s="21">
        <v>0.25</v>
      </c>
      <c r="L54" s="21">
        <v>0.25</v>
      </c>
      <c r="M54" s="21">
        <v>0.25</v>
      </c>
    </row>
    <row r="55" spans="1:13" x14ac:dyDescent="0.2">
      <c r="B55" s="38" t="s">
        <v>3</v>
      </c>
      <c r="F55" s="19"/>
      <c r="G55" s="25"/>
      <c r="H55" s="25"/>
      <c r="I55" s="21">
        <v>0.3</v>
      </c>
      <c r="J55" s="21">
        <v>0.3</v>
      </c>
      <c r="K55" s="21">
        <v>0.3</v>
      </c>
      <c r="L55" s="21">
        <v>0.3</v>
      </c>
      <c r="M55" s="21">
        <v>0.3</v>
      </c>
    </row>
    <row r="56" spans="1:13" x14ac:dyDescent="0.2">
      <c r="F56" s="10"/>
      <c r="G56" s="20"/>
      <c r="H56" s="20"/>
      <c r="I56" s="10"/>
      <c r="J56" s="10"/>
      <c r="K56" s="10"/>
      <c r="L56" s="10"/>
      <c r="M56" s="10"/>
    </row>
    <row r="57" spans="1:13" x14ac:dyDescent="0.2">
      <c r="A57" s="1" t="s">
        <v>4</v>
      </c>
      <c r="B57" s="110" t="s">
        <v>35</v>
      </c>
      <c r="C57" s="110"/>
      <c r="D57" s="110"/>
      <c r="E57" s="110"/>
      <c r="F57" s="113"/>
      <c r="G57" s="113"/>
      <c r="H57" s="113"/>
      <c r="I57" s="113"/>
      <c r="J57" s="113"/>
      <c r="K57" s="113"/>
      <c r="L57" s="113"/>
      <c r="M57" s="113"/>
    </row>
    <row r="58" spans="1:13" x14ac:dyDescent="0.2">
      <c r="F58" s="10"/>
      <c r="G58" s="20"/>
      <c r="H58" s="20"/>
      <c r="I58" s="10"/>
      <c r="J58" s="10"/>
      <c r="K58" s="10"/>
      <c r="L58" s="10"/>
      <c r="M58" s="10"/>
    </row>
    <row r="59" spans="1:13" x14ac:dyDescent="0.2">
      <c r="B59" s="1" t="s">
        <v>20</v>
      </c>
      <c r="F59" s="10">
        <f t="shared" ref="F59:M59" si="34">F15</f>
        <v>58708</v>
      </c>
      <c r="G59" s="10">
        <f t="shared" si="34"/>
        <v>70726</v>
      </c>
      <c r="H59" s="10">
        <f t="shared" si="34"/>
        <v>114734</v>
      </c>
      <c r="I59" s="10">
        <f t="shared" si="34"/>
        <v>150151.79423999999</v>
      </c>
      <c r="J59" s="10">
        <f t="shared" ca="1" si="34"/>
        <v>176739.26459015996</v>
      </c>
      <c r="K59" s="10">
        <f t="shared" ca="1" si="34"/>
        <v>203474.68628998048</v>
      </c>
      <c r="L59" s="10">
        <f t="shared" ca="1" si="34"/>
        <v>229175.0281634703</v>
      </c>
      <c r="M59" s="10">
        <f t="shared" ca="1" si="34"/>
        <v>252785.40746014839</v>
      </c>
    </row>
    <row r="60" spans="1:13" x14ac:dyDescent="0.2">
      <c r="B60" s="26" t="s">
        <v>36</v>
      </c>
      <c r="F60" s="10">
        <f>-F13</f>
        <v>-335</v>
      </c>
      <c r="G60" s="10">
        <f t="shared" ref="G60:M61" si="35">-G13</f>
        <v>-8499</v>
      </c>
      <c r="H60" s="10">
        <f t="shared" si="35"/>
        <v>-606</v>
      </c>
      <c r="I60" s="10">
        <f t="shared" si="35"/>
        <v>0</v>
      </c>
      <c r="J60" s="10">
        <f t="shared" si="35"/>
        <v>0</v>
      </c>
      <c r="K60" s="10">
        <f t="shared" si="35"/>
        <v>0</v>
      </c>
      <c r="L60" s="10">
        <f t="shared" si="35"/>
        <v>0</v>
      </c>
      <c r="M60" s="10">
        <f t="shared" si="35"/>
        <v>0</v>
      </c>
    </row>
    <row r="61" spans="1:13" x14ac:dyDescent="0.2">
      <c r="B61" s="26" t="s">
        <v>37</v>
      </c>
      <c r="F61" s="10">
        <f>-F14</f>
        <v>373</v>
      </c>
      <c r="G61" s="10">
        <f t="shared" si="35"/>
        <v>194</v>
      </c>
      <c r="H61" s="10">
        <f t="shared" si="35"/>
        <v>647</v>
      </c>
      <c r="I61" s="10">
        <f t="shared" si="35"/>
        <v>0</v>
      </c>
      <c r="J61" s="10">
        <f t="shared" si="35"/>
        <v>0</v>
      </c>
      <c r="K61" s="10">
        <f t="shared" si="35"/>
        <v>0</v>
      </c>
      <c r="L61" s="10">
        <f t="shared" si="35"/>
        <v>0</v>
      </c>
      <c r="M61" s="10">
        <f t="shared" si="35"/>
        <v>0</v>
      </c>
    </row>
    <row r="62" spans="1:13" x14ac:dyDescent="0.2">
      <c r="B62" s="26" t="s">
        <v>38</v>
      </c>
      <c r="F62" s="11">
        <v>882</v>
      </c>
      <c r="G62" s="11">
        <v>1624</v>
      </c>
      <c r="H62" s="11">
        <v>1782</v>
      </c>
      <c r="I62" s="10">
        <f>I9*I66</f>
        <v>2040.1059</v>
      </c>
      <c r="J62" s="10">
        <f ca="1">J9*J66</f>
        <v>1832.1278292</v>
      </c>
      <c r="K62" s="10">
        <f ca="1">K9*K66</f>
        <v>2146.3574503162499</v>
      </c>
      <c r="L62" s="10">
        <f ca="1">L9*L66</f>
        <v>2460.7197011109911</v>
      </c>
      <c r="M62" s="10">
        <f ca="1">M9*M66</f>
        <v>2763.6888570715937</v>
      </c>
    </row>
    <row r="63" spans="1:13" x14ac:dyDescent="0.2">
      <c r="B63" s="58" t="s">
        <v>39</v>
      </c>
      <c r="C63" s="55"/>
      <c r="D63" s="55"/>
      <c r="E63" s="55"/>
      <c r="F63" s="82">
        <f>10892-2125</f>
        <v>8767</v>
      </c>
      <c r="G63" s="82">
        <f>11756-2303</f>
        <v>9453</v>
      </c>
      <c r="H63" s="82">
        <f>14968-2558</f>
        <v>12410</v>
      </c>
      <c r="I63" s="59">
        <f>-(I126+I135)</f>
        <v>16340.392</v>
      </c>
      <c r="J63" s="59">
        <f t="shared" ref="J63:M63" si="36">-(J126+J135)</f>
        <v>18871.895305312501</v>
      </c>
      <c r="K63" s="59">
        <f t="shared" ca="1" si="36"/>
        <v>19577.111321140314</v>
      </c>
      <c r="L63" s="59">
        <f t="shared" ca="1" si="36"/>
        <v>20805.911779789072</v>
      </c>
      <c r="M63" s="59">
        <f t="shared" ca="1" si="36"/>
        <v>22447.265976012437</v>
      </c>
    </row>
    <row r="64" spans="1:13" x14ac:dyDescent="0.2">
      <c r="B64" s="26" t="s">
        <v>40</v>
      </c>
      <c r="F64" s="20">
        <f t="shared" ref="F64:G64" si="37">SUM(F59:F63)</f>
        <v>68395</v>
      </c>
      <c r="G64" s="20">
        <f t="shared" si="37"/>
        <v>73498</v>
      </c>
      <c r="H64" s="20">
        <f>SUM(H59:H63)</f>
        <v>128967</v>
      </c>
      <c r="I64" s="20">
        <f t="shared" ref="I64:M64" si="38">SUM(I59:I63)</f>
        <v>168532.29213999998</v>
      </c>
      <c r="J64" s="20">
        <f t="shared" ca="1" si="38"/>
        <v>197443.28772467247</v>
      </c>
      <c r="K64" s="20">
        <f t="shared" ca="1" si="38"/>
        <v>225198.15506143705</v>
      </c>
      <c r="L64" s="20">
        <f t="shared" ca="1" si="38"/>
        <v>252441.65964437037</v>
      </c>
      <c r="M64" s="20">
        <f t="shared" ca="1" si="38"/>
        <v>277996.36229323241</v>
      </c>
    </row>
    <row r="65" spans="1:13" x14ac:dyDescent="0.2">
      <c r="B65" s="26"/>
      <c r="F65" s="20"/>
      <c r="G65" s="20"/>
      <c r="H65" s="20"/>
      <c r="I65" s="20"/>
      <c r="J65" s="20"/>
      <c r="K65" s="20"/>
      <c r="L65" s="20"/>
      <c r="M65" s="20"/>
    </row>
    <row r="66" spans="1:13" s="95" customFormat="1" x14ac:dyDescent="0.2">
      <c r="B66" s="95" t="s">
        <v>41</v>
      </c>
      <c r="F66" s="96">
        <f>F62/F9</f>
        <v>3.1968799611444975E-3</v>
      </c>
      <c r="G66" s="96">
        <f>G62/G9</f>
        <v>5.1919984398428329E-3</v>
      </c>
      <c r="H66" s="96">
        <f>H62/H9</f>
        <v>4.2743960796448079E-3</v>
      </c>
      <c r="I66" s="98">
        <v>4.0000000000000001E-3</v>
      </c>
      <c r="J66" s="98">
        <v>3.0000000000000001E-3</v>
      </c>
      <c r="K66" s="98">
        <v>3.0000000000000001E-3</v>
      </c>
      <c r="L66" s="98">
        <v>3.0000000000000001E-3</v>
      </c>
      <c r="M66" s="98">
        <v>3.0000000000000001E-3</v>
      </c>
    </row>
    <row r="67" spans="1:13" x14ac:dyDescent="0.2">
      <c r="F67" s="19"/>
      <c r="G67" s="19"/>
      <c r="H67" s="19"/>
    </row>
    <row r="68" spans="1:13" x14ac:dyDescent="0.2">
      <c r="A68" s="1" t="s">
        <v>0</v>
      </c>
      <c r="B68" s="109" t="s">
        <v>42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</row>
    <row r="69" spans="1:13" x14ac:dyDescent="0.2">
      <c r="F69" s="19"/>
      <c r="G69" s="19"/>
      <c r="H69" s="19"/>
    </row>
    <row r="70" spans="1:13" x14ac:dyDescent="0.2">
      <c r="B70" s="1" t="s">
        <v>43</v>
      </c>
      <c r="F70" s="19"/>
      <c r="G70" s="19">
        <f>G15/F15-1</f>
        <v>0.20470804660352937</v>
      </c>
      <c r="H70" s="19">
        <f t="shared" ref="H70:M70" si="39">H15/G15-1</f>
        <v>0.62223227667335923</v>
      </c>
      <c r="I70" s="19">
        <f t="shared" si="39"/>
        <v>0.30869484407411907</v>
      </c>
      <c r="J70" s="19">
        <f t="shared" ca="1" si="39"/>
        <v>0.17707061367287436</v>
      </c>
      <c r="K70" s="19">
        <f t="shared" ca="1" si="39"/>
        <v>0.15127041385974538</v>
      </c>
      <c r="L70" s="19">
        <f t="shared" ca="1" si="39"/>
        <v>0.12630731783934612</v>
      </c>
      <c r="M70" s="19">
        <f t="shared" ca="1" si="39"/>
        <v>0.10302335069350055</v>
      </c>
    </row>
    <row r="71" spans="1:13" x14ac:dyDescent="0.2">
      <c r="B71" s="1" t="s">
        <v>44</v>
      </c>
      <c r="F71" s="19"/>
      <c r="G71" s="19">
        <f>G20/F20-1</f>
        <v>0.30365015317940669</v>
      </c>
      <c r="H71" s="19">
        <f t="shared" ref="H71:M71" si="40">H20/G20-1</f>
        <v>0.25096364652442427</v>
      </c>
      <c r="I71" s="19">
        <f t="shared" ca="1" si="40"/>
        <v>0.28762799357968394</v>
      </c>
      <c r="J71" s="19">
        <f t="shared" ca="1" si="40"/>
        <v>0.17866164404719087</v>
      </c>
      <c r="K71" s="19">
        <f t="shared" ca="1" si="40"/>
        <v>0.1517888545970465</v>
      </c>
      <c r="L71" s="19">
        <f t="shared" ca="1" si="40"/>
        <v>0.12630731783934612</v>
      </c>
      <c r="M71" s="19">
        <f t="shared" ca="1" si="40"/>
        <v>0.10302335069350055</v>
      </c>
    </row>
    <row r="72" spans="1:13" x14ac:dyDescent="0.2">
      <c r="F72" s="19"/>
      <c r="G72" s="19"/>
      <c r="H72" s="19"/>
    </row>
    <row r="73" spans="1:13" x14ac:dyDescent="0.2">
      <c r="B73" s="1" t="s">
        <v>45</v>
      </c>
      <c r="F73" s="19">
        <f>F11/F9</f>
        <v>0.56723596743676918</v>
      </c>
      <c r="G73" s="19">
        <f t="shared" ref="G73:M73" si="41">G11/G9</f>
        <v>0.53803362650221076</v>
      </c>
      <c r="H73" s="19">
        <f t="shared" si="41"/>
        <v>0.56585856114521194</v>
      </c>
      <c r="I73" s="19">
        <f t="shared" si="41"/>
        <v>0.56999999999999995</v>
      </c>
      <c r="J73" s="19">
        <f t="shared" ca="1" si="41"/>
        <v>0.56499999999999995</v>
      </c>
      <c r="K73" s="19">
        <f t="shared" ca="1" si="41"/>
        <v>0.55999999999999994</v>
      </c>
      <c r="L73" s="19">
        <f t="shared" ca="1" si="41"/>
        <v>0.55500000000000005</v>
      </c>
      <c r="M73" s="19">
        <f t="shared" ca="1" si="41"/>
        <v>0.54999999999999993</v>
      </c>
    </row>
    <row r="74" spans="1:13" x14ac:dyDescent="0.2">
      <c r="B74" s="1" t="s">
        <v>46</v>
      </c>
      <c r="F74" s="19">
        <f>F15/F9</f>
        <v>0.21279186934112376</v>
      </c>
      <c r="G74" s="19">
        <f t="shared" ref="G74:M74" si="42">G15/G9</f>
        <v>0.22611408968985483</v>
      </c>
      <c r="H74" s="19">
        <f t="shared" si="42"/>
        <v>0.27520682368236105</v>
      </c>
      <c r="I74" s="19">
        <f t="shared" si="42"/>
        <v>0.2944</v>
      </c>
      <c r="J74" s="19">
        <f t="shared" ca="1" si="42"/>
        <v>0.28939999999999994</v>
      </c>
      <c r="K74" s="19">
        <f t="shared" ca="1" si="42"/>
        <v>0.28439999999999999</v>
      </c>
      <c r="L74" s="19">
        <f t="shared" ca="1" si="42"/>
        <v>0.27940000000000004</v>
      </c>
      <c r="M74" s="19">
        <f t="shared" ca="1" si="42"/>
        <v>0.27439999999999998</v>
      </c>
    </row>
    <row r="75" spans="1:13" x14ac:dyDescent="0.2">
      <c r="B75" s="1" t="s">
        <v>47</v>
      </c>
      <c r="F75" s="19">
        <f>F20/F9</f>
        <v>0.19403104090701501</v>
      </c>
      <c r="G75" s="19">
        <f t="shared" ref="G75:M75" si="43">G20/G9</f>
        <v>0.2231120659613989</v>
      </c>
      <c r="H75" s="19">
        <f t="shared" si="43"/>
        <v>0.20940463083561806</v>
      </c>
      <c r="I75" s="19">
        <f t="shared" ca="1" si="43"/>
        <v>0.22040269863932063</v>
      </c>
      <c r="J75" s="19">
        <f t="shared" ca="1" si="43"/>
        <v>0.21695230191794082</v>
      </c>
      <c r="K75" s="19">
        <f t="shared" ca="1" si="43"/>
        <v>0.21329999999999996</v>
      </c>
      <c r="L75" s="19">
        <f t="shared" ca="1" si="43"/>
        <v>0.20954999999999999</v>
      </c>
      <c r="M75" s="19">
        <f t="shared" ca="1" si="43"/>
        <v>0.20579999999999996</v>
      </c>
    </row>
    <row r="76" spans="1:13" x14ac:dyDescent="0.2">
      <c r="B76" s="26" t="s">
        <v>48</v>
      </c>
      <c r="F76" s="19">
        <f>F64/F9</f>
        <v>0.24790318020689106</v>
      </c>
      <c r="G76" s="19">
        <f t="shared" ref="G76:M76" si="44">G64/G9</f>
        <v>0.23497629392337965</v>
      </c>
      <c r="H76" s="19">
        <f t="shared" si="44"/>
        <v>0.30934682334654989</v>
      </c>
      <c r="I76" s="19">
        <f t="shared" si="44"/>
        <v>0.33043832114793648</v>
      </c>
      <c r="J76" s="19">
        <f t="shared" ca="1" si="44"/>
        <v>0.32330160250480922</v>
      </c>
      <c r="K76" s="19">
        <f t="shared" ca="1" si="44"/>
        <v>0.31476325860110915</v>
      </c>
      <c r="L76" s="19">
        <f t="shared" ca="1" si="44"/>
        <v>0.30776564213761781</v>
      </c>
      <c r="M76" s="19">
        <f t="shared" ca="1" si="44"/>
        <v>0.3017666351064543</v>
      </c>
    </row>
    <row r="77" spans="1:13" x14ac:dyDescent="0.2">
      <c r="F77" s="19"/>
      <c r="G77" s="19"/>
      <c r="H77" s="19"/>
    </row>
    <row r="78" spans="1:13" x14ac:dyDescent="0.2">
      <c r="B78" s="1" t="s">
        <v>49</v>
      </c>
      <c r="F78" s="19"/>
      <c r="G78" s="19">
        <f t="shared" ref="G78:M78" si="45">G20/AVERAGE((G94+G96+G105),(F94+F96+F105))</f>
        <v>0.27270080750887515</v>
      </c>
      <c r="H78" s="19">
        <f t="shared" si="45"/>
        <v>0.28831813047814686</v>
      </c>
      <c r="I78" s="19">
        <f t="shared" ca="1" si="45"/>
        <v>0.31490774617979361</v>
      </c>
      <c r="J78" s="19">
        <f t="shared" ca="1" si="45"/>
        <v>0.30773787988205636</v>
      </c>
      <c r="K78" s="19">
        <f t="shared" ca="1" si="45"/>
        <v>0.28923207090977121</v>
      </c>
      <c r="L78" s="19">
        <f t="shared" ca="1" si="45"/>
        <v>0.2664324730702296</v>
      </c>
      <c r="M78" s="19">
        <f t="shared" ca="1" si="45"/>
        <v>0.24429832114936101</v>
      </c>
    </row>
    <row r="79" spans="1:13" x14ac:dyDescent="0.2">
      <c r="B79" s="1" t="s">
        <v>50</v>
      </c>
      <c r="F79" s="19"/>
      <c r="G79" s="19">
        <f t="shared" ref="G79:M79" si="46">G20/AVERAGE(G105,F105)</f>
        <v>0.27270080750887515</v>
      </c>
      <c r="H79" s="19">
        <f t="shared" si="46"/>
        <v>0.30366093323362148</v>
      </c>
      <c r="I79" s="19">
        <f t="shared" ca="1" si="46"/>
        <v>0.33500880772346858</v>
      </c>
      <c r="J79" s="19">
        <f t="shared" ca="1" si="46"/>
        <v>0.31217494871828289</v>
      </c>
      <c r="K79" s="19">
        <f t="shared" ca="1" si="46"/>
        <v>0.28923207090977121</v>
      </c>
      <c r="L79" s="19">
        <f t="shared" ca="1" si="46"/>
        <v>0.2664324730702296</v>
      </c>
      <c r="M79" s="19">
        <f t="shared" ca="1" si="46"/>
        <v>0.24429832114936101</v>
      </c>
    </row>
    <row r="80" spans="1:13" x14ac:dyDescent="0.2">
      <c r="B80" s="1" t="s">
        <v>51</v>
      </c>
      <c r="F80" s="19"/>
      <c r="G80" s="19">
        <f t="shared" ref="G80:M80" si="47">G18/AVERAGE(F91,G91)</f>
        <v>0.17887047832912395</v>
      </c>
      <c r="H80" s="19">
        <f t="shared" si="47"/>
        <v>0.25365378263386301</v>
      </c>
      <c r="I80" s="19">
        <f t="shared" ca="1" si="47"/>
        <v>0.27472592884757402</v>
      </c>
      <c r="J80" s="19">
        <f t="shared" ca="1" si="47"/>
        <v>0.26792230472899109</v>
      </c>
      <c r="K80" s="19">
        <f t="shared" ca="1" si="47"/>
        <v>0.2544466787975318</v>
      </c>
      <c r="L80" s="19">
        <f t="shared" ca="1" si="47"/>
        <v>0.23831670908017116</v>
      </c>
      <c r="M80" s="19">
        <f t="shared" ca="1" si="47"/>
        <v>0.2223907526122115</v>
      </c>
    </row>
    <row r="81" spans="1:13" x14ac:dyDescent="0.2">
      <c r="F81" s="19"/>
      <c r="G81" s="19"/>
      <c r="H81" s="19"/>
    </row>
    <row r="82" spans="1:13" x14ac:dyDescent="0.2">
      <c r="A82" s="1" t="s">
        <v>4</v>
      </c>
      <c r="B82" s="109" t="s">
        <v>52</v>
      </c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</row>
    <row r="84" spans="1:13" x14ac:dyDescent="0.2">
      <c r="B84" s="38" t="s">
        <v>53</v>
      </c>
      <c r="F84" s="27">
        <v>127703</v>
      </c>
      <c r="G84" s="27">
        <v>149164</v>
      </c>
      <c r="H84" s="27">
        <v>116582</v>
      </c>
      <c r="I84" s="28">
        <f ca="1">I174</f>
        <v>167620.96929346607</v>
      </c>
      <c r="J84" s="28">
        <f t="shared" ref="J84:M84" ca="1" si="48">J174</f>
        <v>245772.69331511343</v>
      </c>
      <c r="K84" s="28">
        <f t="shared" ca="1" si="48"/>
        <v>347750.64786130277</v>
      </c>
      <c r="L84" s="28">
        <f t="shared" ca="1" si="48"/>
        <v>461409.09092054761</v>
      </c>
      <c r="M84" s="28">
        <f t="shared" ca="1" si="48"/>
        <v>586327.39509849309</v>
      </c>
    </row>
    <row r="85" spans="1:13" x14ac:dyDescent="0.2">
      <c r="B85" s="38" t="s">
        <v>54</v>
      </c>
      <c r="F85" s="27">
        <v>46426</v>
      </c>
      <c r="G85" s="27">
        <v>57028</v>
      </c>
      <c r="H85" s="27">
        <v>82155</v>
      </c>
      <c r="I85" s="28">
        <f>I111/365*I9</f>
        <v>100607.96219178081</v>
      </c>
      <c r="J85" s="28">
        <f ca="1">J111/365*J9</f>
        <v>120468.67918027396</v>
      </c>
      <c r="K85" s="28">
        <f ca="1">K111/365*K9</f>
        <v>141130.35289750685</v>
      </c>
      <c r="L85" s="28">
        <f ca="1">L111/365*L9</f>
        <v>161800.74747031173</v>
      </c>
      <c r="M85" s="28">
        <f ca="1">M111/365*M9</f>
        <v>181722.00704032395</v>
      </c>
    </row>
    <row r="86" spans="1:13" x14ac:dyDescent="0.2">
      <c r="B86" s="38" t="s">
        <v>55</v>
      </c>
      <c r="F86" s="27">
        <v>58943</v>
      </c>
      <c r="G86" s="27">
        <v>64340</v>
      </c>
      <c r="H86" s="27">
        <v>95013</v>
      </c>
      <c r="I86" s="28">
        <f>-I112/365*I10</f>
        <v>114762.94353904108</v>
      </c>
      <c r="J86" s="28">
        <f ca="1">-J112/365*J10</f>
        <v>139015.83624573698</v>
      </c>
      <c r="K86" s="28">
        <f ca="1">-K112/365*K10</f>
        <v>164730.48413203438</v>
      </c>
      <c r="L86" s="28">
        <f ca="1">-L112/365*L10</f>
        <v>191003.53515609921</v>
      </c>
      <c r="M86" s="28">
        <f ca="1">-M112/365*M10</f>
        <v>216930.64590438674</v>
      </c>
    </row>
    <row r="87" spans="1:13" x14ac:dyDescent="0.2">
      <c r="B87" s="38" t="s">
        <v>56</v>
      </c>
      <c r="F87" s="27">
        <v>7070</v>
      </c>
      <c r="G87" s="27">
        <v>8563</v>
      </c>
      <c r="H87" s="27">
        <v>11195</v>
      </c>
      <c r="I87" s="28">
        <f>I9*I113</f>
        <v>13260.688349999999</v>
      </c>
      <c r="J87" s="28">
        <f ca="1">J9*J113</f>
        <v>15878.441186399999</v>
      </c>
      <c r="K87" s="28">
        <f ca="1">K9*K113</f>
        <v>18601.7645694075</v>
      </c>
      <c r="L87" s="28">
        <f ca="1">L9*L113</f>
        <v>21326.237409628586</v>
      </c>
      <c r="M87" s="28">
        <f ca="1">M9*M113</f>
        <v>23951.970094620476</v>
      </c>
    </row>
    <row r="88" spans="1:13" x14ac:dyDescent="0.2">
      <c r="B88" s="38" t="s">
        <v>57</v>
      </c>
      <c r="F88" s="27">
        <v>35072</v>
      </c>
      <c r="G88" s="27">
        <v>41613</v>
      </c>
      <c r="H88" s="27">
        <v>51392</v>
      </c>
      <c r="I88" s="28">
        <f>I127</f>
        <v>65330.123749999999</v>
      </c>
      <c r="J88" s="28">
        <f t="shared" ref="J88:M88" ca="1" si="49">J127</f>
        <v>69278.774816999998</v>
      </c>
      <c r="K88" s="28">
        <f t="shared" ca="1" si="49"/>
        <v>75501.018860422497</v>
      </c>
      <c r="L88" s="28">
        <f t="shared" ca="1" si="49"/>
        <v>83497.991722239458</v>
      </c>
      <c r="M88" s="28">
        <f t="shared" ca="1" si="49"/>
        <v>92765.322114062714</v>
      </c>
    </row>
    <row r="89" spans="1:13" x14ac:dyDescent="0.2">
      <c r="B89" s="38" t="s">
        <v>58</v>
      </c>
      <c r="F89" s="27">
        <v>51025</v>
      </c>
      <c r="G89" s="27">
        <v>54543</v>
      </c>
      <c r="H89" s="27">
        <v>85307</v>
      </c>
      <c r="I89" s="28">
        <f>I136</f>
        <v>81804.874187499998</v>
      </c>
      <c r="J89" s="28">
        <f t="shared" ref="J89:M89" ca="1" si="50">J136</f>
        <v>78832.379298187501</v>
      </c>
      <c r="K89" s="28">
        <f t="shared" ca="1" si="50"/>
        <v>76285.229645384068</v>
      </c>
      <c r="L89" s="28">
        <f t="shared" ca="1" si="50"/>
        <v>74140.14176581378</v>
      </c>
      <c r="M89" s="28">
        <f t="shared" ca="1" si="50"/>
        <v>72365.508016253691</v>
      </c>
    </row>
    <row r="90" spans="1:13" x14ac:dyDescent="0.2">
      <c r="B90" s="81" t="s">
        <v>59</v>
      </c>
      <c r="C90" s="55"/>
      <c r="D90" s="55"/>
      <c r="E90" s="55"/>
      <c r="F90" s="92">
        <v>29538</v>
      </c>
      <c r="G90" s="92">
        <v>47390</v>
      </c>
      <c r="H90" s="92">
        <v>53052</v>
      </c>
      <c r="I90" s="61">
        <f>H90</f>
        <v>53052</v>
      </c>
      <c r="J90" s="61">
        <f t="shared" ref="J90:M90" si="51">I90</f>
        <v>53052</v>
      </c>
      <c r="K90" s="61">
        <f t="shared" si="51"/>
        <v>53052</v>
      </c>
      <c r="L90" s="61">
        <f t="shared" si="51"/>
        <v>53052</v>
      </c>
      <c r="M90" s="61">
        <f t="shared" si="51"/>
        <v>53052</v>
      </c>
    </row>
    <row r="91" spans="1:13" s="13" customFormat="1" x14ac:dyDescent="0.2">
      <c r="B91" s="13" t="s">
        <v>60</v>
      </c>
      <c r="F91" s="35">
        <f t="shared" ref="F91:M91" si="52">SUM(F84:F90)</f>
        <v>355777</v>
      </c>
      <c r="G91" s="35">
        <f t="shared" si="52"/>
        <v>422641</v>
      </c>
      <c r="H91" s="35">
        <f t="shared" si="52"/>
        <v>494696</v>
      </c>
      <c r="I91" s="35">
        <f t="shared" ca="1" si="52"/>
        <v>596439.56131178793</v>
      </c>
      <c r="J91" s="35">
        <f t="shared" ca="1" si="52"/>
        <v>722298.80404271185</v>
      </c>
      <c r="K91" s="35">
        <f t="shared" ca="1" si="52"/>
        <v>877051.49796605809</v>
      </c>
      <c r="L91" s="35">
        <f t="shared" ca="1" si="52"/>
        <v>1046229.7444446404</v>
      </c>
      <c r="M91" s="35">
        <f t="shared" ca="1" si="52"/>
        <v>1227114.8482681406</v>
      </c>
    </row>
    <row r="92" spans="1:13" x14ac:dyDescent="0.2">
      <c r="F92" s="10"/>
      <c r="G92" s="20"/>
      <c r="H92" s="20"/>
      <c r="I92" s="10"/>
      <c r="J92" s="10"/>
      <c r="K92" s="10"/>
      <c r="L92" s="10"/>
      <c r="M92" s="10"/>
    </row>
    <row r="93" spans="1:13" x14ac:dyDescent="0.2">
      <c r="B93" s="38" t="s">
        <v>61</v>
      </c>
      <c r="F93" s="27">
        <v>46660</v>
      </c>
      <c r="G93" s="27">
        <v>58558</v>
      </c>
      <c r="H93" s="27">
        <v>70352</v>
      </c>
      <c r="I93" s="28">
        <f>-I114/365*I10</f>
        <v>85321.141269863001</v>
      </c>
      <c r="J93" s="28">
        <f ca="1">-J114/365*J10</f>
        <v>103352.08768007671</v>
      </c>
      <c r="K93" s="28">
        <f ca="1">-K114/365*K10</f>
        <v>122469.78401439206</v>
      </c>
      <c r="L93" s="28">
        <f ca="1">-L114/365*L10</f>
        <v>142002.6282312361</v>
      </c>
      <c r="M93" s="28">
        <f ca="1">-M114/365*M10</f>
        <v>161278.28124828753</v>
      </c>
    </row>
    <row r="94" spans="1:13" x14ac:dyDescent="0.2">
      <c r="B94" s="38" t="s">
        <v>62</v>
      </c>
      <c r="F94" s="27"/>
      <c r="G94" s="27"/>
      <c r="H94" s="27">
        <v>18359</v>
      </c>
      <c r="I94" s="28">
        <f ca="1">I181</f>
        <v>0</v>
      </c>
      <c r="J94" s="28">
        <f t="shared" ref="J94:M94" ca="1" si="53">J181</f>
        <v>0</v>
      </c>
      <c r="K94" s="28">
        <f t="shared" ca="1" si="53"/>
        <v>0</v>
      </c>
      <c r="L94" s="28">
        <f t="shared" ca="1" si="53"/>
        <v>0</v>
      </c>
      <c r="M94" s="28">
        <f t="shared" ca="1" si="53"/>
        <v>0</v>
      </c>
    </row>
    <row r="95" spans="1:13" x14ac:dyDescent="0.2">
      <c r="B95" s="38" t="s">
        <v>63</v>
      </c>
      <c r="F95" s="27">
        <v>23877</v>
      </c>
      <c r="G95" s="27">
        <v>31253</v>
      </c>
      <c r="H95" s="27">
        <v>62171</v>
      </c>
      <c r="I95" s="28">
        <f>I115*I9</f>
        <v>76503.971249999988</v>
      </c>
      <c r="J95" s="28">
        <f ca="1">J115*J9</f>
        <v>91606.391459999999</v>
      </c>
      <c r="K95" s="28">
        <f ca="1">K115*K9</f>
        <v>107317.8725158125</v>
      </c>
      <c r="L95" s="28">
        <f ca="1">L115*L9</f>
        <v>123035.98505554954</v>
      </c>
      <c r="M95" s="28">
        <f ca="1">M115*M9</f>
        <v>138184.44285357968</v>
      </c>
    </row>
    <row r="96" spans="1:13" x14ac:dyDescent="0.2">
      <c r="B96" s="38" t="s">
        <v>64</v>
      </c>
      <c r="F96" s="27"/>
      <c r="G96" s="27"/>
      <c r="H96" s="27">
        <v>12239</v>
      </c>
      <c r="I96" s="28">
        <f>I188</f>
        <v>12239</v>
      </c>
      <c r="J96" s="28">
        <f t="shared" ref="J96:M96" si="54">J188</f>
        <v>0</v>
      </c>
      <c r="K96" s="28">
        <f t="shared" si="54"/>
        <v>0</v>
      </c>
      <c r="L96" s="28">
        <f t="shared" si="54"/>
        <v>0</v>
      </c>
      <c r="M96" s="28">
        <f t="shared" si="54"/>
        <v>0</v>
      </c>
    </row>
    <row r="97" spans="1:13" x14ac:dyDescent="0.2">
      <c r="B97" s="81" t="s">
        <v>65</v>
      </c>
      <c r="C97" s="55"/>
      <c r="D97" s="55"/>
      <c r="E97" s="55"/>
      <c r="F97" s="92">
        <v>53788</v>
      </c>
      <c r="G97" s="92">
        <v>52461</v>
      </c>
      <c r="H97" s="92">
        <v>36954</v>
      </c>
      <c r="I97" s="61">
        <f>I116*I9</f>
        <v>45902.382749999997</v>
      </c>
      <c r="J97" s="61">
        <f ca="1">J116*J9</f>
        <v>54963.834875999994</v>
      </c>
      <c r="K97" s="61">
        <f ca="1">K116*K9</f>
        <v>64390.7235094875</v>
      </c>
      <c r="L97" s="61">
        <f ca="1">L116*L9</f>
        <v>73821.591033329722</v>
      </c>
      <c r="M97" s="61">
        <f ca="1">M116*M9</f>
        <v>82910.665712147806</v>
      </c>
    </row>
    <row r="98" spans="1:13" s="13" customFormat="1" x14ac:dyDescent="0.2">
      <c r="B98" s="13" t="s">
        <v>66</v>
      </c>
      <c r="F98" s="35">
        <f>SUM(F93:F97)</f>
        <v>124325</v>
      </c>
      <c r="G98" s="35">
        <f t="shared" ref="G98:M98" si="55">SUM(G93:G97)</f>
        <v>142272</v>
      </c>
      <c r="H98" s="35">
        <f t="shared" si="55"/>
        <v>200075</v>
      </c>
      <c r="I98" s="35">
        <f t="shared" ca="1" si="55"/>
        <v>219966.49526986299</v>
      </c>
      <c r="J98" s="35">
        <f t="shared" ca="1" si="55"/>
        <v>249922.31401607674</v>
      </c>
      <c r="K98" s="35">
        <f t="shared" ca="1" si="55"/>
        <v>294178.3800396921</v>
      </c>
      <c r="L98" s="35">
        <f t="shared" ca="1" si="55"/>
        <v>338860.20432011539</v>
      </c>
      <c r="M98" s="35">
        <f t="shared" ca="1" si="55"/>
        <v>382373.38981401501</v>
      </c>
    </row>
    <row r="99" spans="1:13" s="13" customFormat="1" x14ac:dyDescent="0.2">
      <c r="F99" s="35"/>
      <c r="G99" s="35"/>
      <c r="H99" s="35"/>
      <c r="I99" s="35"/>
      <c r="J99" s="35"/>
      <c r="K99" s="35"/>
      <c r="L99" s="35"/>
      <c r="M99" s="35"/>
    </row>
    <row r="100" spans="1:13" x14ac:dyDescent="0.2">
      <c r="B100" s="38" t="s">
        <v>67</v>
      </c>
      <c r="F100" s="27">
        <v>32363</v>
      </c>
      <c r="G100" s="27">
        <v>32363</v>
      </c>
      <c r="H100" s="27">
        <v>32363</v>
      </c>
      <c r="I100" s="28">
        <f t="shared" ref="I100:J100" si="56">H100</f>
        <v>32363</v>
      </c>
      <c r="J100" s="28">
        <f t="shared" si="56"/>
        <v>32363</v>
      </c>
      <c r="K100" s="28">
        <f t="shared" ref="K100:M102" si="57">J100</f>
        <v>32363</v>
      </c>
      <c r="L100" s="28">
        <f t="shared" si="57"/>
        <v>32363</v>
      </c>
      <c r="M100" s="28">
        <f t="shared" si="57"/>
        <v>32363</v>
      </c>
    </row>
    <row r="101" spans="1:13" x14ac:dyDescent="0.2">
      <c r="B101" s="38" t="s">
        <v>68</v>
      </c>
      <c r="F101" s="27">
        <v>43550</v>
      </c>
      <c r="G101" s="27">
        <v>44573</v>
      </c>
      <c r="H101" s="27">
        <v>44995</v>
      </c>
      <c r="I101" s="28">
        <f>I146</f>
        <v>47035.105900000002</v>
      </c>
      <c r="J101" s="28">
        <f t="shared" ref="J101:M101" ca="1" si="58">J146</f>
        <v>48867.233729200001</v>
      </c>
      <c r="K101" s="28">
        <f t="shared" ca="1" si="58"/>
        <v>51013.591179516254</v>
      </c>
      <c r="L101" s="28">
        <f t="shared" ca="1" si="58"/>
        <v>53474.310880627243</v>
      </c>
      <c r="M101" s="28">
        <f t="shared" ca="1" si="58"/>
        <v>56237.999737698839</v>
      </c>
    </row>
    <row r="102" spans="1:13" x14ac:dyDescent="0.2">
      <c r="B102" s="38" t="s">
        <v>69</v>
      </c>
      <c r="F102" s="27">
        <v>-4179</v>
      </c>
      <c r="G102" s="27">
        <v>-15001</v>
      </c>
      <c r="H102" s="27">
        <v>-81547</v>
      </c>
      <c r="I102" s="28">
        <f>H102</f>
        <v>-81547</v>
      </c>
      <c r="J102" s="28">
        <f t="shared" ref="J102" si="59">I102</f>
        <v>-81547</v>
      </c>
      <c r="K102" s="28">
        <f t="shared" si="57"/>
        <v>-81547</v>
      </c>
      <c r="L102" s="28">
        <f t="shared" si="57"/>
        <v>-81547</v>
      </c>
      <c r="M102" s="28">
        <f t="shared" si="57"/>
        <v>-81547</v>
      </c>
    </row>
    <row r="103" spans="1:13" x14ac:dyDescent="0.2">
      <c r="B103" s="38" t="s">
        <v>70</v>
      </c>
      <c r="F103" s="27">
        <v>159803</v>
      </c>
      <c r="G103" s="27">
        <v>214858</v>
      </c>
      <c r="H103" s="27">
        <v>279828</v>
      </c>
      <c r="I103" s="28">
        <f ca="1">I152</f>
        <v>359639.96014192497</v>
      </c>
      <c r="J103" s="28">
        <f t="shared" ref="J103:M103" ca="1" si="60">J152</f>
        <v>453711.25629743515</v>
      </c>
      <c r="K103" s="28">
        <f t="shared" ca="1" si="60"/>
        <v>562061.52674684965</v>
      </c>
      <c r="L103" s="28">
        <f t="shared" ca="1" si="60"/>
        <v>684097.2292438976</v>
      </c>
      <c r="M103" s="28">
        <f t="shared" ca="1" si="60"/>
        <v>818705.45871642663</v>
      </c>
    </row>
    <row r="104" spans="1:13" x14ac:dyDescent="0.2">
      <c r="B104" s="81" t="s">
        <v>71</v>
      </c>
      <c r="C104" s="55"/>
      <c r="D104" s="55"/>
      <c r="E104" s="55"/>
      <c r="F104" s="92">
        <v>-85</v>
      </c>
      <c r="G104" s="92">
        <v>3576</v>
      </c>
      <c r="H104" s="92">
        <v>18982</v>
      </c>
      <c r="I104" s="61">
        <f>H104</f>
        <v>18982</v>
      </c>
      <c r="J104" s="61">
        <f>I104</f>
        <v>18982</v>
      </c>
      <c r="K104" s="61">
        <f t="shared" ref="K104:M104" si="61">J104</f>
        <v>18982</v>
      </c>
      <c r="L104" s="61">
        <f t="shared" si="61"/>
        <v>18982</v>
      </c>
      <c r="M104" s="61">
        <f t="shared" si="61"/>
        <v>18982</v>
      </c>
    </row>
    <row r="105" spans="1:13" s="13" customFormat="1" x14ac:dyDescent="0.2">
      <c r="B105" s="93" t="s">
        <v>72</v>
      </c>
      <c r="C105" s="93"/>
      <c r="D105" s="93"/>
      <c r="E105" s="93"/>
      <c r="F105" s="94">
        <f>SUM(F100:F104)</f>
        <v>231452</v>
      </c>
      <c r="G105" s="94">
        <f t="shared" ref="G105:M105" si="62">SUM(G100:G104)</f>
        <v>280369</v>
      </c>
      <c r="H105" s="94">
        <f t="shared" si="62"/>
        <v>294621</v>
      </c>
      <c r="I105" s="94">
        <f t="shared" ca="1" si="62"/>
        <v>376473.06604192499</v>
      </c>
      <c r="J105" s="94">
        <f t="shared" ca="1" si="62"/>
        <v>472376.49002663512</v>
      </c>
      <c r="K105" s="94">
        <f ca="1">SUM(K100:K104)</f>
        <v>582873.11792636593</v>
      </c>
      <c r="L105" s="94">
        <f t="shared" ca="1" si="62"/>
        <v>707369.54012452485</v>
      </c>
      <c r="M105" s="94">
        <f t="shared" ca="1" si="62"/>
        <v>844741.45845412544</v>
      </c>
    </row>
    <row r="106" spans="1:13" s="13" customFormat="1" x14ac:dyDescent="0.2">
      <c r="B106" s="13" t="s">
        <v>73</v>
      </c>
      <c r="F106" s="35">
        <f>F98+F105</f>
        <v>355777</v>
      </c>
      <c r="G106" s="35">
        <f t="shared" ref="G106:M106" si="63">G98+G105</f>
        <v>422641</v>
      </c>
      <c r="H106" s="35">
        <f t="shared" si="63"/>
        <v>494696</v>
      </c>
      <c r="I106" s="35">
        <f t="shared" ca="1" si="63"/>
        <v>596439.56131178793</v>
      </c>
      <c r="J106" s="35">
        <f t="shared" ca="1" si="63"/>
        <v>722298.80404271185</v>
      </c>
      <c r="K106" s="35">
        <f t="shared" ca="1" si="63"/>
        <v>877051.49796605809</v>
      </c>
      <c r="L106" s="35">
        <f t="shared" ca="1" si="63"/>
        <v>1046229.7444446402</v>
      </c>
      <c r="M106" s="35">
        <f t="shared" ca="1" si="63"/>
        <v>1227114.8482681406</v>
      </c>
    </row>
    <row r="107" spans="1:13" x14ac:dyDescent="0.2">
      <c r="F107" s="10"/>
      <c r="G107" s="20"/>
      <c r="H107" s="20"/>
      <c r="I107" s="10"/>
      <c r="J107" s="10"/>
      <c r="K107" s="10"/>
      <c r="L107" s="10"/>
      <c r="M107" s="10"/>
    </row>
    <row r="108" spans="1:13" x14ac:dyDescent="0.2">
      <c r="B108" s="1" t="s">
        <v>74</v>
      </c>
      <c r="F108" s="10">
        <f>F91-F106</f>
        <v>0</v>
      </c>
      <c r="G108" s="10">
        <f t="shared" ref="G108:M108" si="64">G91-G106</f>
        <v>0</v>
      </c>
      <c r="H108" s="10">
        <f t="shared" si="64"/>
        <v>0</v>
      </c>
      <c r="I108" s="10">
        <f t="shared" ca="1" si="64"/>
        <v>0</v>
      </c>
      <c r="J108" s="10">
        <f t="shared" ca="1" si="64"/>
        <v>0</v>
      </c>
      <c r="K108" s="10">
        <f t="shared" ca="1" si="64"/>
        <v>0</v>
      </c>
      <c r="L108" s="10">
        <f t="shared" ca="1" si="64"/>
        <v>0</v>
      </c>
      <c r="M108" s="10">
        <f t="shared" ca="1" si="64"/>
        <v>0</v>
      </c>
    </row>
    <row r="110" spans="1:13" x14ac:dyDescent="0.2">
      <c r="A110" s="1" t="s">
        <v>0</v>
      </c>
      <c r="B110" s="109" t="s">
        <v>75</v>
      </c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</row>
    <row r="111" spans="1:13" x14ac:dyDescent="0.2">
      <c r="B111" s="1" t="s">
        <v>76</v>
      </c>
      <c r="F111" s="29">
        <f>F85/F9*365</f>
        <v>61.420291851218217</v>
      </c>
      <c r="G111" s="29">
        <f>G85/G9*365</f>
        <v>66.54716118533581</v>
      </c>
      <c r="H111" s="29">
        <f>H85/H9*365</f>
        <v>71.927328070693051</v>
      </c>
      <c r="I111" s="27">
        <v>72</v>
      </c>
      <c r="J111" s="16">
        <f>I111</f>
        <v>72</v>
      </c>
      <c r="K111" s="16">
        <f t="shared" ref="K111:M111" si="65">J111</f>
        <v>72</v>
      </c>
      <c r="L111" s="16">
        <f t="shared" si="65"/>
        <v>72</v>
      </c>
      <c r="M111" s="16">
        <f t="shared" si="65"/>
        <v>72</v>
      </c>
    </row>
    <row r="112" spans="1:13" x14ac:dyDescent="0.2">
      <c r="B112" s="1" t="s">
        <v>77</v>
      </c>
      <c r="F112" s="29">
        <f>-F86/F10*365</f>
        <v>180.19041516956037</v>
      </c>
      <c r="G112" s="29">
        <f>-G86/G10*365</f>
        <v>162.52197262245843</v>
      </c>
      <c r="H112" s="29">
        <f>-H86/H10*365</f>
        <v>191.60715272329469</v>
      </c>
      <c r="I112" s="27">
        <v>191</v>
      </c>
      <c r="J112" s="16">
        <f t="shared" ref="J112:M112" si="66">I112</f>
        <v>191</v>
      </c>
      <c r="K112" s="16">
        <f t="shared" si="66"/>
        <v>191</v>
      </c>
      <c r="L112" s="16">
        <f t="shared" si="66"/>
        <v>191</v>
      </c>
      <c r="M112" s="16">
        <f t="shared" si="66"/>
        <v>191</v>
      </c>
    </row>
    <row r="113" spans="1:13" x14ac:dyDescent="0.2">
      <c r="B113" s="1" t="s">
        <v>78</v>
      </c>
      <c r="F113" s="19">
        <f>F87/F9</f>
        <v>2.5625783815523353E-2</v>
      </c>
      <c r="G113" s="19">
        <f>G87/G9</f>
        <v>2.7376282414023512E-2</v>
      </c>
      <c r="H113" s="19">
        <f>H87/H9</f>
        <v>2.6852897930204053E-2</v>
      </c>
      <c r="I113" s="30">
        <v>2.5999999999999999E-2</v>
      </c>
      <c r="J113" s="19">
        <f t="shared" ref="J113:M113" si="67">I113</f>
        <v>2.5999999999999999E-2</v>
      </c>
      <c r="K113" s="19">
        <f t="shared" si="67"/>
        <v>2.5999999999999999E-2</v>
      </c>
      <c r="L113" s="19">
        <f t="shared" si="67"/>
        <v>2.5999999999999999E-2</v>
      </c>
      <c r="M113" s="19">
        <f t="shared" si="67"/>
        <v>2.5999999999999999E-2</v>
      </c>
    </row>
    <row r="114" spans="1:13" x14ac:dyDescent="0.2">
      <c r="B114" s="1" t="s">
        <v>79</v>
      </c>
      <c r="F114" s="29">
        <f>-F93/F10*365</f>
        <v>142.64093737698602</v>
      </c>
      <c r="G114" s="29">
        <f>-G93/G10*365</f>
        <v>147.91671857049926</v>
      </c>
      <c r="H114" s="29">
        <f>-H93/H10*365</f>
        <v>141.87475827927997</v>
      </c>
      <c r="I114" s="27">
        <v>142</v>
      </c>
      <c r="J114" s="16">
        <f t="shared" ref="J114:M114" si="68">I114</f>
        <v>142</v>
      </c>
      <c r="K114" s="16">
        <f t="shared" si="68"/>
        <v>142</v>
      </c>
      <c r="L114" s="16">
        <f t="shared" si="68"/>
        <v>142</v>
      </c>
      <c r="M114" s="16">
        <f t="shared" si="68"/>
        <v>142</v>
      </c>
    </row>
    <row r="115" spans="1:13" x14ac:dyDescent="0.2">
      <c r="B115" s="1" t="s">
        <v>80</v>
      </c>
      <c r="F115" s="19">
        <f>F95/F9</f>
        <v>8.6544107519554617E-2</v>
      </c>
      <c r="G115" s="19">
        <f>G95/G9</f>
        <v>9.9917196576605957E-2</v>
      </c>
      <c r="H115" s="19">
        <f>H95/H9</f>
        <v>0.14912653123883129</v>
      </c>
      <c r="I115" s="30">
        <v>0.15</v>
      </c>
      <c r="J115" s="19">
        <f t="shared" ref="J115:M115" si="69">I115</f>
        <v>0.15</v>
      </c>
      <c r="K115" s="19">
        <f t="shared" si="69"/>
        <v>0.15</v>
      </c>
      <c r="L115" s="19">
        <f t="shared" si="69"/>
        <v>0.15</v>
      </c>
      <c r="M115" s="19">
        <f t="shared" si="69"/>
        <v>0.15</v>
      </c>
    </row>
    <row r="116" spans="1:13" x14ac:dyDescent="0.2">
      <c r="B116" s="1" t="s">
        <v>81</v>
      </c>
      <c r="F116" s="19">
        <f>F97/F9</f>
        <v>0.19495893350344698</v>
      </c>
      <c r="G116" s="19">
        <f>G97/G9</f>
        <v>0.1677200924584944</v>
      </c>
      <c r="H116" s="19">
        <f>H97/H9</f>
        <v>8.8639749005159502E-2</v>
      </c>
      <c r="I116" s="30">
        <v>0.09</v>
      </c>
      <c r="J116" s="19">
        <f t="shared" ref="J116:M116" si="70">I116</f>
        <v>0.09</v>
      </c>
      <c r="K116" s="19">
        <f t="shared" si="70"/>
        <v>0.09</v>
      </c>
      <c r="L116" s="19">
        <f t="shared" si="70"/>
        <v>0.09</v>
      </c>
      <c r="M116" s="19">
        <f t="shared" si="70"/>
        <v>0.09</v>
      </c>
    </row>
    <row r="117" spans="1:13" x14ac:dyDescent="0.2">
      <c r="B117" s="1" t="s">
        <v>82</v>
      </c>
      <c r="F117" s="19">
        <f>-F19/F18</f>
        <v>8.6079147744733159E-2</v>
      </c>
      <c r="G117" s="19">
        <f>-G19/G18</f>
        <v>-2.4275331092533541E-3</v>
      </c>
      <c r="H117" s="19">
        <f>-H19/H18</f>
        <v>0.24962395674857962</v>
      </c>
      <c r="I117" s="30">
        <v>0.25</v>
      </c>
      <c r="J117" s="31">
        <f>I117</f>
        <v>0.25</v>
      </c>
      <c r="K117" s="31">
        <f t="shared" ref="K117:M117" si="71">J117</f>
        <v>0.25</v>
      </c>
      <c r="L117" s="31">
        <f t="shared" si="71"/>
        <v>0.25</v>
      </c>
      <c r="M117" s="31">
        <f t="shared" si="71"/>
        <v>0.25</v>
      </c>
    </row>
    <row r="118" spans="1:13" x14ac:dyDescent="0.2">
      <c r="B118" s="1" t="s">
        <v>83</v>
      </c>
      <c r="F118" s="28">
        <f t="shared" ref="F118:M118" si="72">SUM(F85:F87)-SUM(F93,F95,F97)</f>
        <v>-11886</v>
      </c>
      <c r="G118" s="28">
        <f t="shared" si="72"/>
        <v>-12341</v>
      </c>
      <c r="H118" s="28">
        <f t="shared" si="72"/>
        <v>18886</v>
      </c>
      <c r="I118" s="28">
        <f t="shared" si="72"/>
        <v>20904.098810958909</v>
      </c>
      <c r="J118" s="28">
        <f t="shared" ca="1" si="72"/>
        <v>25440.642596334219</v>
      </c>
      <c r="K118" s="28">
        <f t="shared" ca="1" si="72"/>
        <v>30284.221559256664</v>
      </c>
      <c r="L118" s="28">
        <f t="shared" ca="1" si="72"/>
        <v>35270.315715924138</v>
      </c>
      <c r="M118" s="28">
        <f t="shared" ca="1" si="72"/>
        <v>40231.233225316158</v>
      </c>
    </row>
    <row r="119" spans="1:13" x14ac:dyDescent="0.2">
      <c r="B119" s="1" t="s">
        <v>84</v>
      </c>
      <c r="F119" s="37"/>
      <c r="G119" s="28">
        <f>G118-F118</f>
        <v>-455</v>
      </c>
      <c r="H119" s="28">
        <f t="shared" ref="H119:M119" si="73">H118-G118</f>
        <v>31227</v>
      </c>
      <c r="I119" s="28">
        <f t="shared" si="73"/>
        <v>2018.0988109589089</v>
      </c>
      <c r="J119" s="28">
        <f t="shared" ca="1" si="73"/>
        <v>4536.5437853753101</v>
      </c>
      <c r="K119" s="28">
        <f t="shared" ca="1" si="73"/>
        <v>4843.5789629224455</v>
      </c>
      <c r="L119" s="28">
        <f t="shared" ca="1" si="73"/>
        <v>4986.0941566674737</v>
      </c>
      <c r="M119" s="28">
        <f t="shared" ca="1" si="73"/>
        <v>4960.9175093920203</v>
      </c>
    </row>
    <row r="121" spans="1:13" x14ac:dyDescent="0.2">
      <c r="A121" s="1" t="s">
        <v>0</v>
      </c>
      <c r="B121" s="109" t="s">
        <v>85</v>
      </c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</row>
    <row r="123" spans="1:13" x14ac:dyDescent="0.2">
      <c r="B123" s="1" t="s">
        <v>57</v>
      </c>
    </row>
    <row r="124" spans="1:13" s="13" customFormat="1" x14ac:dyDescent="0.2">
      <c r="B124" s="13" t="s">
        <v>86</v>
      </c>
      <c r="F124" s="14"/>
      <c r="G124" s="14"/>
      <c r="H124" s="14"/>
      <c r="I124" s="14">
        <f>H127</f>
        <v>51392</v>
      </c>
      <c r="J124" s="14">
        <f t="shared" ref="J124:M124" si="74">I127</f>
        <v>65330.123749999999</v>
      </c>
      <c r="K124" s="14">
        <f t="shared" ca="1" si="74"/>
        <v>69278.774816999998</v>
      </c>
      <c r="L124" s="14">
        <f t="shared" ca="1" si="74"/>
        <v>75501.018860422497</v>
      </c>
      <c r="M124" s="14">
        <f t="shared" ca="1" si="74"/>
        <v>83497.991722239458</v>
      </c>
    </row>
    <row r="125" spans="1:13" x14ac:dyDescent="0.2">
      <c r="B125" s="1" t="s">
        <v>87</v>
      </c>
      <c r="F125" s="32">
        <v>9124</v>
      </c>
      <c r="G125" s="32">
        <v>12829</v>
      </c>
      <c r="H125" s="32">
        <v>16962</v>
      </c>
      <c r="I125" s="28">
        <f>I9*I129</f>
        <v>25501.32375</v>
      </c>
      <c r="J125" s="28">
        <f ca="1">J9*J129</f>
        <v>18321.278291999999</v>
      </c>
      <c r="K125" s="28">
        <f ca="1">K9*K129</f>
        <v>21463.574503162501</v>
      </c>
      <c r="L125" s="28">
        <f ca="1">L9*L129</f>
        <v>24607.197011109907</v>
      </c>
      <c r="M125" s="28">
        <f ca="1">M9*M129</f>
        <v>27636.888570715935</v>
      </c>
    </row>
    <row r="126" spans="1:13" x14ac:dyDescent="0.2">
      <c r="B126" s="55" t="s">
        <v>88</v>
      </c>
      <c r="C126" s="55"/>
      <c r="D126" s="55"/>
      <c r="E126" s="55"/>
      <c r="F126" s="90">
        <v>-5336</v>
      </c>
      <c r="G126" s="90">
        <v>-7096</v>
      </c>
      <c r="H126" s="90">
        <v>-9343</v>
      </c>
      <c r="I126" s="61">
        <f>-I124*I130</f>
        <v>-11563.2</v>
      </c>
      <c r="J126" s="61">
        <f t="shared" ref="J126:M126" si="75">-J124*J130</f>
        <v>-14372.627225</v>
      </c>
      <c r="K126" s="61">
        <f t="shared" ca="1" si="75"/>
        <v>-15241.33045974</v>
      </c>
      <c r="L126" s="61">
        <f t="shared" ca="1" si="75"/>
        <v>-16610.22414929295</v>
      </c>
      <c r="M126" s="61">
        <f t="shared" ca="1" si="75"/>
        <v>-18369.558178892679</v>
      </c>
    </row>
    <row r="127" spans="1:13" s="13" customFormat="1" x14ac:dyDescent="0.2">
      <c r="B127" s="13" t="s">
        <v>89</v>
      </c>
      <c r="F127" s="14"/>
      <c r="G127" s="14"/>
      <c r="H127" s="14">
        <f>H88</f>
        <v>51392</v>
      </c>
      <c r="I127" s="14">
        <f>SUM(I124:I126)</f>
        <v>65330.123749999999</v>
      </c>
      <c r="J127" s="14">
        <f t="shared" ref="J127:M127" ca="1" si="76">SUM(J124:J126)</f>
        <v>69278.774816999998</v>
      </c>
      <c r="K127" s="14">
        <f t="shared" ca="1" si="76"/>
        <v>75501.018860422497</v>
      </c>
      <c r="L127" s="14">
        <f t="shared" ca="1" si="76"/>
        <v>83497.991722239458</v>
      </c>
      <c r="M127" s="14">
        <f t="shared" ca="1" si="76"/>
        <v>92765.322114062714</v>
      </c>
    </row>
    <row r="129" spans="1:13" s="95" customFormat="1" x14ac:dyDescent="0.2">
      <c r="B129" s="95" t="s">
        <v>90</v>
      </c>
      <c r="F129" s="96">
        <f>F125/F9</f>
        <v>3.3070672069707929E-2</v>
      </c>
      <c r="G129" s="96">
        <f>G125/G9</f>
        <v>4.1014869448733809E-2</v>
      </c>
      <c r="H129" s="96">
        <f>H125/H9</f>
        <v>4.0685918239582057E-2</v>
      </c>
      <c r="I129" s="97">
        <v>0.05</v>
      </c>
      <c r="J129" s="97">
        <v>0.03</v>
      </c>
      <c r="K129" s="97">
        <v>0.03</v>
      </c>
      <c r="L129" s="97">
        <v>0.03</v>
      </c>
      <c r="M129" s="97">
        <v>0.03</v>
      </c>
    </row>
    <row r="130" spans="1:13" s="95" customFormat="1" x14ac:dyDescent="0.2">
      <c r="B130" s="95" t="s">
        <v>91</v>
      </c>
      <c r="F130" s="96">
        <f>-F126/30786</f>
        <v>0.1733255375820178</v>
      </c>
      <c r="G130" s="96">
        <f>-G126/F88</f>
        <v>0.20232664233576642</v>
      </c>
      <c r="H130" s="96">
        <f>-H126/G88</f>
        <v>0.22452118328406989</v>
      </c>
      <c r="I130" s="97">
        <v>0.22500000000000001</v>
      </c>
      <c r="J130" s="97">
        <v>0.22</v>
      </c>
      <c r="K130" s="97">
        <v>0.22</v>
      </c>
      <c r="L130" s="97">
        <v>0.22</v>
      </c>
      <c r="M130" s="97">
        <v>0.22</v>
      </c>
    </row>
    <row r="132" spans="1:13" x14ac:dyDescent="0.2">
      <c r="B132" s="1" t="s">
        <v>58</v>
      </c>
    </row>
    <row r="133" spans="1:13" s="13" customFormat="1" x14ac:dyDescent="0.2">
      <c r="B133" s="13" t="s">
        <v>86</v>
      </c>
      <c r="F133" s="14"/>
      <c r="G133" s="14"/>
      <c r="H133" s="14"/>
      <c r="I133" s="14">
        <f>H136</f>
        <v>85307</v>
      </c>
      <c r="J133" s="14">
        <f t="shared" ref="J133:M133" si="77">I136</f>
        <v>81804.874187499998</v>
      </c>
      <c r="K133" s="14">
        <f t="shared" ca="1" si="77"/>
        <v>78832.379298187501</v>
      </c>
      <c r="L133" s="14">
        <f t="shared" ca="1" si="77"/>
        <v>76285.229645384068</v>
      </c>
      <c r="M133" s="14">
        <f t="shared" ca="1" si="77"/>
        <v>74140.14176581378</v>
      </c>
    </row>
    <row r="134" spans="1:13" x14ac:dyDescent="0.2">
      <c r="B134" s="1" t="s">
        <v>87</v>
      </c>
      <c r="F134" s="32">
        <v>741</v>
      </c>
      <c r="G134" s="32">
        <v>862</v>
      </c>
      <c r="H134" s="32">
        <v>1061</v>
      </c>
      <c r="I134" s="28">
        <f>I9*I138</f>
        <v>1275.0661875000001</v>
      </c>
      <c r="J134" s="28">
        <f ca="1">J9*J138</f>
        <v>1526.773191</v>
      </c>
      <c r="K134" s="28">
        <f ca="1">K9*K138</f>
        <v>1788.631208596875</v>
      </c>
      <c r="L134" s="28">
        <f ca="1">L9*L138</f>
        <v>2050.5997509258259</v>
      </c>
      <c r="M134" s="28">
        <f ca="1">M9*M138</f>
        <v>2303.0740475596613</v>
      </c>
    </row>
    <row r="135" spans="1:13" x14ac:dyDescent="0.2">
      <c r="B135" s="55" t="s">
        <v>92</v>
      </c>
      <c r="C135" s="55"/>
      <c r="D135" s="55"/>
      <c r="E135" s="55"/>
      <c r="F135" s="90">
        <v>-3431</v>
      </c>
      <c r="G135" s="90">
        <v>-2356</v>
      </c>
      <c r="H135" s="90">
        <v>-3066</v>
      </c>
      <c r="I135" s="61">
        <f>-I133*I139</f>
        <v>-4777.192</v>
      </c>
      <c r="J135" s="61">
        <f t="shared" ref="J135:M135" si="78">-J133*J139</f>
        <v>-4499.2680803124995</v>
      </c>
      <c r="K135" s="61">
        <f t="shared" ca="1" si="78"/>
        <v>-4335.7808614003125</v>
      </c>
      <c r="L135" s="61">
        <f t="shared" ca="1" si="78"/>
        <v>-4195.6876304961233</v>
      </c>
      <c r="M135" s="61">
        <f t="shared" ca="1" si="78"/>
        <v>-4077.7077971197577</v>
      </c>
    </row>
    <row r="136" spans="1:13" s="13" customFormat="1" x14ac:dyDescent="0.2">
      <c r="B136" s="13" t="s">
        <v>89</v>
      </c>
      <c r="F136" s="14"/>
      <c r="G136" s="14"/>
      <c r="H136" s="14">
        <f>H89</f>
        <v>85307</v>
      </c>
      <c r="I136" s="14">
        <f>SUM(I133:I135)</f>
        <v>81804.874187499998</v>
      </c>
      <c r="J136" s="14">
        <f t="shared" ref="J136" ca="1" si="79">SUM(J133:J135)</f>
        <v>78832.379298187501</v>
      </c>
      <c r="K136" s="14">
        <f t="shared" ref="K136" ca="1" si="80">SUM(K133:K135)</f>
        <v>76285.229645384068</v>
      </c>
      <c r="L136" s="14">
        <f t="shared" ref="L136" ca="1" si="81">SUM(L133:L135)</f>
        <v>74140.14176581378</v>
      </c>
      <c r="M136" s="14">
        <f t="shared" ref="M136" ca="1" si="82">SUM(M133:M135)</f>
        <v>72365.508016253691</v>
      </c>
    </row>
    <row r="138" spans="1:13" s="95" customFormat="1" x14ac:dyDescent="0.2">
      <c r="B138" s="95" t="s">
        <v>90</v>
      </c>
      <c r="F138" s="96">
        <f>F134/F9</f>
        <v>2.6858141170159554E-3</v>
      </c>
      <c r="G138" s="96">
        <f>G134/G9</f>
        <v>2.7558513886357895E-3</v>
      </c>
      <c r="H138" s="96">
        <f>H134/H9</f>
        <v>2.544968709597722E-3</v>
      </c>
      <c r="I138" s="97">
        <v>2.5000000000000001E-3</v>
      </c>
      <c r="J138" s="97">
        <v>2.5000000000000001E-3</v>
      </c>
      <c r="K138" s="97">
        <v>2.5000000000000001E-3</v>
      </c>
      <c r="L138" s="97">
        <v>2.5000000000000001E-3</v>
      </c>
      <c r="M138" s="97">
        <v>2.5000000000000001E-3</v>
      </c>
    </row>
    <row r="139" spans="1:13" s="95" customFormat="1" x14ac:dyDescent="0.2">
      <c r="B139" s="95" t="s">
        <v>93</v>
      </c>
      <c r="F139" s="96">
        <f>-F135/26119</f>
        <v>0.13136031241624871</v>
      </c>
      <c r="G139" s="96">
        <f>-G135/F89</f>
        <v>4.6173444390004897E-2</v>
      </c>
      <c r="H139" s="96">
        <f>-H135/G89</f>
        <v>5.6212529563830375E-2</v>
      </c>
      <c r="I139" s="97">
        <v>5.6000000000000001E-2</v>
      </c>
      <c r="J139" s="97">
        <v>5.5E-2</v>
      </c>
      <c r="K139" s="97">
        <v>5.5E-2</v>
      </c>
      <c r="L139" s="97">
        <v>5.5E-2</v>
      </c>
      <c r="M139" s="97">
        <v>5.5E-2</v>
      </c>
    </row>
    <row r="141" spans="1:13" x14ac:dyDescent="0.2">
      <c r="A141" s="1" t="s">
        <v>0</v>
      </c>
      <c r="B141" s="109" t="s">
        <v>94</v>
      </c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</row>
    <row r="143" spans="1:13" x14ac:dyDescent="0.2">
      <c r="B143" s="1" t="s">
        <v>68</v>
      </c>
    </row>
    <row r="144" spans="1:13" s="13" customFormat="1" x14ac:dyDescent="0.2">
      <c r="B144" s="13" t="s">
        <v>86</v>
      </c>
      <c r="F144" s="14"/>
      <c r="G144" s="14"/>
      <c r="H144" s="14"/>
      <c r="I144" s="14">
        <f>H146</f>
        <v>44995</v>
      </c>
      <c r="J144" s="14">
        <f t="shared" ref="J144:M144" si="83">I146</f>
        <v>47035.105900000002</v>
      </c>
      <c r="K144" s="14">
        <f t="shared" ca="1" si="83"/>
        <v>48867.233729200001</v>
      </c>
      <c r="L144" s="14">
        <f t="shared" ca="1" si="83"/>
        <v>51013.591179516254</v>
      </c>
      <c r="M144" s="14">
        <f t="shared" ca="1" si="83"/>
        <v>53474.310880627243</v>
      </c>
    </row>
    <row r="145" spans="1:13" x14ac:dyDescent="0.2">
      <c r="B145" s="55" t="s">
        <v>95</v>
      </c>
      <c r="C145" s="55"/>
      <c r="D145" s="55"/>
      <c r="E145" s="55"/>
      <c r="F145" s="59">
        <f t="shared" ref="F145:M145" si="84">F62</f>
        <v>882</v>
      </c>
      <c r="G145" s="59">
        <f t="shared" si="84"/>
        <v>1624</v>
      </c>
      <c r="H145" s="59">
        <f t="shared" si="84"/>
        <v>1782</v>
      </c>
      <c r="I145" s="59">
        <f t="shared" si="84"/>
        <v>2040.1059</v>
      </c>
      <c r="J145" s="59">
        <f t="shared" ca="1" si="84"/>
        <v>1832.1278292</v>
      </c>
      <c r="K145" s="59">
        <f t="shared" ca="1" si="84"/>
        <v>2146.3574503162499</v>
      </c>
      <c r="L145" s="59">
        <f t="shared" ca="1" si="84"/>
        <v>2460.7197011109911</v>
      </c>
      <c r="M145" s="59">
        <f t="shared" ca="1" si="84"/>
        <v>2763.6888570715937</v>
      </c>
    </row>
    <row r="146" spans="1:13" s="13" customFormat="1" x14ac:dyDescent="0.2">
      <c r="B146" s="13" t="s">
        <v>89</v>
      </c>
      <c r="F146" s="14"/>
      <c r="G146" s="14"/>
      <c r="H146" s="14">
        <f>H101</f>
        <v>44995</v>
      </c>
      <c r="I146" s="14">
        <f>SUM(I144:I145)</f>
        <v>47035.105900000002</v>
      </c>
      <c r="J146" s="14">
        <f t="shared" ref="J146:M146" ca="1" si="85">SUM(J144:J145)</f>
        <v>48867.233729200001</v>
      </c>
      <c r="K146" s="14">
        <f t="shared" ca="1" si="85"/>
        <v>51013.591179516254</v>
      </c>
      <c r="L146" s="14">
        <f t="shared" ca="1" si="85"/>
        <v>53474.310880627243</v>
      </c>
      <c r="M146" s="14">
        <f t="shared" ca="1" si="85"/>
        <v>56237.999737698839</v>
      </c>
    </row>
    <row r="147" spans="1:13" x14ac:dyDescent="0.2">
      <c r="F147" s="10"/>
      <c r="G147" s="10"/>
      <c r="H147" s="10"/>
      <c r="I147" s="10"/>
      <c r="J147" s="10"/>
      <c r="K147" s="10"/>
      <c r="L147" s="10"/>
      <c r="M147" s="10"/>
    </row>
    <row r="148" spans="1:13" x14ac:dyDescent="0.2">
      <c r="B148" s="1" t="s">
        <v>70</v>
      </c>
      <c r="F148" s="10"/>
      <c r="G148" s="10"/>
      <c r="H148" s="10"/>
      <c r="I148" s="10"/>
      <c r="J148" s="10"/>
      <c r="K148" s="10"/>
      <c r="L148" s="10"/>
      <c r="M148" s="10"/>
    </row>
    <row r="149" spans="1:13" s="13" customFormat="1" x14ac:dyDescent="0.2">
      <c r="B149" s="13" t="s">
        <v>86</v>
      </c>
      <c r="F149" s="14"/>
      <c r="G149" s="14"/>
      <c r="H149" s="14"/>
      <c r="I149" s="14">
        <f>H152</f>
        <v>279828</v>
      </c>
      <c r="J149" s="14">
        <f t="shared" ref="J149:M149" ca="1" si="86">I152</f>
        <v>359639.96014192497</v>
      </c>
      <c r="K149" s="14">
        <f t="shared" ca="1" si="86"/>
        <v>453711.25629743515</v>
      </c>
      <c r="L149" s="14">
        <f t="shared" ca="1" si="86"/>
        <v>562061.52674684965</v>
      </c>
      <c r="M149" s="14">
        <f t="shared" ca="1" si="86"/>
        <v>684097.2292438976</v>
      </c>
    </row>
    <row r="150" spans="1:13" x14ac:dyDescent="0.2">
      <c r="B150" s="1" t="s">
        <v>25</v>
      </c>
      <c r="F150" s="10">
        <f t="shared" ref="F150:M150" si="87">F20</f>
        <v>53532</v>
      </c>
      <c r="G150" s="10">
        <f t="shared" si="87"/>
        <v>69787</v>
      </c>
      <c r="H150" s="10">
        <f t="shared" si="87"/>
        <v>87301</v>
      </c>
      <c r="I150" s="10">
        <f t="shared" ca="1" si="87"/>
        <v>112411.21146749999</v>
      </c>
      <c r="J150" s="10">
        <f t="shared" ca="1" si="87"/>
        <v>132494.78331761996</v>
      </c>
      <c r="K150" s="10">
        <f t="shared" ca="1" si="87"/>
        <v>152606.01471748535</v>
      </c>
      <c r="L150" s="10">
        <f t="shared" ca="1" si="87"/>
        <v>171881.27112260272</v>
      </c>
      <c r="M150" s="10">
        <f t="shared" ca="1" si="87"/>
        <v>189589.05559511128</v>
      </c>
    </row>
    <row r="151" spans="1:13" x14ac:dyDescent="0.2">
      <c r="B151" s="55" t="s">
        <v>96</v>
      </c>
      <c r="C151" s="55"/>
      <c r="D151" s="55"/>
      <c r="E151" s="55"/>
      <c r="F151" s="90"/>
      <c r="G151" s="90">
        <v>-15602</v>
      </c>
      <c r="H151" s="90">
        <v>-25470</v>
      </c>
      <c r="I151" s="61">
        <f ca="1">-I150*I154</f>
        <v>-32599.251325574995</v>
      </c>
      <c r="J151" s="61">
        <f ca="1">-J150*J154</f>
        <v>-38423.487162109785</v>
      </c>
      <c r="K151" s="61">
        <f t="shared" ref="K151:M151" ca="1" si="88">-K150*K154</f>
        <v>-44255.744268070746</v>
      </c>
      <c r="L151" s="61">
        <f t="shared" ca="1" si="88"/>
        <v>-49845.568625554784</v>
      </c>
      <c r="M151" s="61">
        <f t="shared" ca="1" si="88"/>
        <v>-54980.826122582264</v>
      </c>
    </row>
    <row r="152" spans="1:13" s="13" customFormat="1" x14ac:dyDescent="0.2">
      <c r="B152" s="13" t="s">
        <v>89</v>
      </c>
      <c r="F152" s="14"/>
      <c r="G152" s="14"/>
      <c r="H152" s="14">
        <f>H103</f>
        <v>279828</v>
      </c>
      <c r="I152" s="14">
        <f ca="1">SUM(I149:I151)</f>
        <v>359639.96014192497</v>
      </c>
      <c r="J152" s="14">
        <f t="shared" ref="J152:M152" ca="1" si="89">SUM(J149:J151)</f>
        <v>453711.25629743515</v>
      </c>
      <c r="K152" s="14">
        <f t="shared" ca="1" si="89"/>
        <v>562061.52674684965</v>
      </c>
      <c r="L152" s="14">
        <f t="shared" ca="1" si="89"/>
        <v>684097.2292438976</v>
      </c>
      <c r="M152" s="14">
        <f t="shared" ca="1" si="89"/>
        <v>818705.45871642663</v>
      </c>
    </row>
    <row r="154" spans="1:13" s="95" customFormat="1" x14ac:dyDescent="0.2">
      <c r="B154" s="95" t="s">
        <v>97</v>
      </c>
      <c r="G154" s="47">
        <f>-G151/G150</f>
        <v>0.22356599366644217</v>
      </c>
      <c r="H154" s="47">
        <f t="shared" ref="H154" si="90">-H151/H150</f>
        <v>0.29174923540394726</v>
      </c>
      <c r="I154" s="97">
        <v>0.28999999999999998</v>
      </c>
      <c r="J154" s="47">
        <f>I154</f>
        <v>0.28999999999999998</v>
      </c>
      <c r="K154" s="47">
        <f t="shared" ref="K154:M154" si="91">J154</f>
        <v>0.28999999999999998</v>
      </c>
      <c r="L154" s="47">
        <f t="shared" si="91"/>
        <v>0.28999999999999998</v>
      </c>
      <c r="M154" s="47">
        <f t="shared" si="91"/>
        <v>0.28999999999999998</v>
      </c>
    </row>
    <row r="155" spans="1:13" x14ac:dyDescent="0.2">
      <c r="G155" s="34"/>
      <c r="H155" s="34"/>
      <c r="I155" s="33"/>
      <c r="J155" s="34"/>
      <c r="K155" s="34"/>
      <c r="L155" s="34"/>
      <c r="M155" s="34"/>
    </row>
    <row r="156" spans="1:13" x14ac:dyDescent="0.2">
      <c r="A156" s="1" t="s">
        <v>0</v>
      </c>
      <c r="B156" s="109" t="s">
        <v>98</v>
      </c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</row>
    <row r="158" spans="1:13" x14ac:dyDescent="0.2">
      <c r="B158" s="1" t="s">
        <v>25</v>
      </c>
      <c r="H158" s="10"/>
      <c r="I158" s="10">
        <f ca="1">I20</f>
        <v>112411.21146749999</v>
      </c>
      <c r="J158" s="10">
        <f ca="1">J20</f>
        <v>132494.78331761996</v>
      </c>
      <c r="K158" s="10">
        <f ca="1">K20</f>
        <v>152606.01471748535</v>
      </c>
      <c r="L158" s="10">
        <f ca="1">L20</f>
        <v>171881.27112260272</v>
      </c>
      <c r="M158" s="10">
        <f ca="1">M20</f>
        <v>189589.05559511128</v>
      </c>
    </row>
    <row r="159" spans="1:13" x14ac:dyDescent="0.2">
      <c r="B159" s="1" t="s">
        <v>88</v>
      </c>
      <c r="H159" s="10"/>
      <c r="I159" s="10">
        <f>I63</f>
        <v>16340.392</v>
      </c>
      <c r="J159" s="10">
        <f>J63</f>
        <v>18871.895305312501</v>
      </c>
      <c r="K159" s="10">
        <f ca="1">K63</f>
        <v>19577.111321140314</v>
      </c>
      <c r="L159" s="10">
        <f ca="1">L63</f>
        <v>20805.911779789072</v>
      </c>
      <c r="M159" s="10">
        <f ca="1">M63</f>
        <v>22447.265976012437</v>
      </c>
    </row>
    <row r="160" spans="1:13" x14ac:dyDescent="0.2">
      <c r="B160" s="1" t="s">
        <v>95</v>
      </c>
      <c r="H160" s="10"/>
      <c r="I160" s="10">
        <f>I62</f>
        <v>2040.1059</v>
      </c>
      <c r="J160" s="10">
        <f ca="1">J62</f>
        <v>1832.1278292</v>
      </c>
      <c r="K160" s="10">
        <f ca="1">K62</f>
        <v>2146.3574503162499</v>
      </c>
      <c r="L160" s="10">
        <f ca="1">L62</f>
        <v>2460.7197011109911</v>
      </c>
      <c r="M160" s="10">
        <f ca="1">M62</f>
        <v>2763.6888570715937</v>
      </c>
    </row>
    <row r="161" spans="1:13" x14ac:dyDescent="0.2">
      <c r="B161" s="55" t="s">
        <v>99</v>
      </c>
      <c r="C161" s="55"/>
      <c r="D161" s="55"/>
      <c r="E161" s="55"/>
      <c r="F161" s="55"/>
      <c r="G161" s="55"/>
      <c r="H161" s="59"/>
      <c r="I161" s="59">
        <f>-I119</f>
        <v>-2018.0988109589089</v>
      </c>
      <c r="J161" s="59">
        <f ca="1">-J119</f>
        <v>-4536.5437853753101</v>
      </c>
      <c r="K161" s="59">
        <f ca="1">-K119</f>
        <v>-4843.5789629224455</v>
      </c>
      <c r="L161" s="59">
        <f ca="1">-L119</f>
        <v>-4986.0941566674737</v>
      </c>
      <c r="M161" s="59">
        <f ca="1">-M119</f>
        <v>-4960.9175093920203</v>
      </c>
    </row>
    <row r="162" spans="1:13" s="13" customFormat="1" x14ac:dyDescent="0.2">
      <c r="B162" s="13" t="s">
        <v>100</v>
      </c>
      <c r="H162" s="14"/>
      <c r="I162" s="14">
        <f ca="1">SUM(I158:I161)</f>
        <v>128773.61055654107</v>
      </c>
      <c r="J162" s="14">
        <f t="shared" ref="J162:M162" ca="1" si="92">SUM(J158:J161)</f>
        <v>148662.26266675716</v>
      </c>
      <c r="K162" s="14">
        <f t="shared" ca="1" si="92"/>
        <v>169485.90452601947</v>
      </c>
      <c r="L162" s="14">
        <f t="shared" ca="1" si="92"/>
        <v>190161.80844683532</v>
      </c>
      <c r="M162" s="14">
        <f t="shared" ca="1" si="92"/>
        <v>209839.0929188033</v>
      </c>
    </row>
    <row r="163" spans="1:13" x14ac:dyDescent="0.2">
      <c r="H163" s="10"/>
      <c r="I163" s="10"/>
      <c r="J163" s="10"/>
      <c r="K163" s="10"/>
      <c r="L163" s="10"/>
      <c r="M163" s="10"/>
    </row>
    <row r="164" spans="1:13" x14ac:dyDescent="0.2">
      <c r="B164" s="1" t="s">
        <v>101</v>
      </c>
      <c r="H164" s="10"/>
      <c r="I164" s="10">
        <f>-(I125+I134)</f>
        <v>-26776.3899375</v>
      </c>
      <c r="J164" s="10">
        <f ca="1">-(J125+J134)</f>
        <v>-19848.051482999999</v>
      </c>
      <c r="K164" s="10">
        <f ca="1">-(K125+K134)</f>
        <v>-23252.205711759376</v>
      </c>
      <c r="L164" s="10">
        <f ca="1">-(L125+L134)</f>
        <v>-26657.796762035734</v>
      </c>
      <c r="M164" s="10">
        <f ca="1">-(M125+M134)</f>
        <v>-29939.962618275596</v>
      </c>
    </row>
    <row r="165" spans="1:13" s="13" customFormat="1" x14ac:dyDescent="0.2">
      <c r="B165" s="13" t="s">
        <v>102</v>
      </c>
      <c r="H165" s="14"/>
      <c r="I165" s="14">
        <f>SUM(I164:I164)</f>
        <v>-26776.3899375</v>
      </c>
      <c r="J165" s="14">
        <f ca="1">SUM(J164:J164)</f>
        <v>-19848.051482999999</v>
      </c>
      <c r="K165" s="14">
        <f ca="1">SUM(K164:K164)</f>
        <v>-23252.205711759376</v>
      </c>
      <c r="L165" s="14">
        <f ca="1">SUM(L164:L164)</f>
        <v>-26657.796762035734</v>
      </c>
      <c r="M165" s="14">
        <f ca="1">SUM(M164:M164)</f>
        <v>-29939.962618275596</v>
      </c>
    </row>
    <row r="166" spans="1:13" x14ac:dyDescent="0.2">
      <c r="H166" s="10"/>
      <c r="I166" s="10"/>
      <c r="J166" s="10"/>
      <c r="K166" s="10"/>
      <c r="L166" s="10"/>
      <c r="M166" s="10"/>
    </row>
    <row r="167" spans="1:13" x14ac:dyDescent="0.2">
      <c r="B167" s="1" t="s">
        <v>103</v>
      </c>
      <c r="H167" s="10"/>
      <c r="I167" s="10">
        <f ca="1">I193</f>
        <v>-18359</v>
      </c>
      <c r="J167" s="10">
        <f t="shared" ref="J167:M167" ca="1" si="93">J193</f>
        <v>-12239</v>
      </c>
      <c r="K167" s="10">
        <f t="shared" ca="1" si="93"/>
        <v>0</v>
      </c>
      <c r="L167" s="10">
        <f t="shared" ca="1" si="93"/>
        <v>0</v>
      </c>
      <c r="M167" s="10">
        <f t="shared" ca="1" si="93"/>
        <v>0</v>
      </c>
    </row>
    <row r="168" spans="1:13" x14ac:dyDescent="0.2">
      <c r="B168" s="1" t="s">
        <v>96</v>
      </c>
      <c r="H168" s="10"/>
      <c r="I168" s="10">
        <f ca="1">I151</f>
        <v>-32599.251325574995</v>
      </c>
      <c r="J168" s="10">
        <f ca="1">J151</f>
        <v>-38423.487162109785</v>
      </c>
      <c r="K168" s="10">
        <f ca="1">K151</f>
        <v>-44255.744268070746</v>
      </c>
      <c r="L168" s="10">
        <f ca="1">L151</f>
        <v>-49845.568625554784</v>
      </c>
      <c r="M168" s="10">
        <f ca="1">M151</f>
        <v>-54980.826122582264</v>
      </c>
    </row>
    <row r="169" spans="1:13" x14ac:dyDescent="0.2">
      <c r="B169" s="55" t="s">
        <v>104</v>
      </c>
      <c r="C169" s="55"/>
      <c r="D169" s="55"/>
      <c r="E169" s="55"/>
      <c r="F169" s="55"/>
      <c r="G169" s="55"/>
      <c r="H169" s="59"/>
      <c r="I169" s="59"/>
      <c r="J169" s="59"/>
      <c r="K169" s="59"/>
      <c r="L169" s="59"/>
      <c r="M169" s="59"/>
    </row>
    <row r="170" spans="1:13" s="13" customFormat="1" x14ac:dyDescent="0.2">
      <c r="B170" s="13" t="s">
        <v>105</v>
      </c>
      <c r="H170" s="14"/>
      <c r="I170" s="14">
        <f ca="1">SUM(I167:I168)</f>
        <v>-50958.251325574995</v>
      </c>
      <c r="J170" s="14">
        <f ca="1">SUM(J167:J168)</f>
        <v>-50662.487162109785</v>
      </c>
      <c r="K170" s="14">
        <f ca="1">SUM(K167:K168)</f>
        <v>-44255.744268070746</v>
      </c>
      <c r="L170" s="14">
        <f ca="1">SUM(L167:L168)</f>
        <v>-49845.568625554784</v>
      </c>
      <c r="M170" s="14">
        <f ca="1">SUM(M167:M168)</f>
        <v>-54980.826122582264</v>
      </c>
    </row>
    <row r="171" spans="1:13" x14ac:dyDescent="0.2">
      <c r="H171" s="10"/>
      <c r="I171" s="10"/>
      <c r="J171" s="10"/>
      <c r="K171" s="10"/>
      <c r="L171" s="10"/>
      <c r="M171" s="10"/>
    </row>
    <row r="172" spans="1:13" s="13" customFormat="1" x14ac:dyDescent="0.2">
      <c r="B172" s="13" t="s">
        <v>86</v>
      </c>
      <c r="H172" s="14"/>
      <c r="I172" s="14">
        <f>H174</f>
        <v>116582</v>
      </c>
      <c r="J172" s="14">
        <f t="shared" ref="J172:M172" ca="1" si="94">I174</f>
        <v>167620.96929346607</v>
      </c>
      <c r="K172" s="14">
        <f t="shared" ca="1" si="94"/>
        <v>245772.69331511343</v>
      </c>
      <c r="L172" s="14">
        <f t="shared" ca="1" si="94"/>
        <v>347750.64786130277</v>
      </c>
      <c r="M172" s="14">
        <f t="shared" ca="1" si="94"/>
        <v>461409.09092054761</v>
      </c>
    </row>
    <row r="173" spans="1:13" x14ac:dyDescent="0.2">
      <c r="B173" s="55" t="s">
        <v>106</v>
      </c>
      <c r="C173" s="55"/>
      <c r="D173" s="55"/>
      <c r="E173" s="55"/>
      <c r="F173" s="55"/>
      <c r="G173" s="55"/>
      <c r="H173" s="59"/>
      <c r="I173" s="59">
        <f ca="1">I162+I165+I170</f>
        <v>51038.969293466071</v>
      </c>
      <c r="J173" s="59">
        <f ca="1">J162+J165+J170</f>
        <v>78151.724021647373</v>
      </c>
      <c r="K173" s="59">
        <f ca="1">K162+K165+K170</f>
        <v>101977.95454618936</v>
      </c>
      <c r="L173" s="59">
        <f ca="1">L162+L165+L170</f>
        <v>113658.4430592448</v>
      </c>
      <c r="M173" s="59">
        <f ca="1">M162+M165+M170</f>
        <v>124918.30417794544</v>
      </c>
    </row>
    <row r="174" spans="1:13" s="13" customFormat="1" x14ac:dyDescent="0.2">
      <c r="B174" s="13" t="s">
        <v>89</v>
      </c>
      <c r="H174" s="14">
        <f>H84</f>
        <v>116582</v>
      </c>
      <c r="I174" s="35">
        <f ca="1">SUM(I172:I173)</f>
        <v>167620.96929346607</v>
      </c>
      <c r="J174" s="35">
        <f t="shared" ref="J174:M174" ca="1" si="95">SUM(J172:J173)</f>
        <v>245772.69331511343</v>
      </c>
      <c r="K174" s="35">
        <f t="shared" ca="1" si="95"/>
        <v>347750.64786130277</v>
      </c>
      <c r="L174" s="35">
        <f t="shared" ca="1" si="95"/>
        <v>461409.09092054761</v>
      </c>
      <c r="M174" s="35">
        <f t="shared" ca="1" si="95"/>
        <v>586327.39509849309</v>
      </c>
    </row>
    <row r="176" spans="1:13" x14ac:dyDescent="0.2">
      <c r="A176" s="1" t="s">
        <v>0</v>
      </c>
      <c r="B176" s="109" t="s">
        <v>107</v>
      </c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</row>
    <row r="178" spans="2:13" x14ac:dyDescent="0.2">
      <c r="B178" s="1" t="s">
        <v>62</v>
      </c>
    </row>
    <row r="179" spans="2:13" s="13" customFormat="1" x14ac:dyDescent="0.2">
      <c r="B179" s="13" t="s">
        <v>86</v>
      </c>
      <c r="H179" s="14"/>
      <c r="I179" s="14">
        <f>H181</f>
        <v>18359</v>
      </c>
      <c r="J179" s="14">
        <f t="shared" ref="J179:M179" ca="1" si="96">I181</f>
        <v>0</v>
      </c>
      <c r="K179" s="14">
        <f t="shared" ca="1" si="96"/>
        <v>0</v>
      </c>
      <c r="L179" s="14">
        <f t="shared" ca="1" si="96"/>
        <v>0</v>
      </c>
      <c r="M179" s="14">
        <f t="shared" ca="1" si="96"/>
        <v>0</v>
      </c>
    </row>
    <row r="180" spans="2:13" x14ac:dyDescent="0.2">
      <c r="B180" s="55" t="s">
        <v>108</v>
      </c>
      <c r="C180" s="55"/>
      <c r="D180" s="55"/>
      <c r="E180" s="55"/>
      <c r="F180" s="55"/>
      <c r="G180" s="55"/>
      <c r="H180" s="59"/>
      <c r="I180" s="99">
        <f t="shared" ref="I180" ca="1" si="97">IF(I205&lt;0,-I205,-MIN(I179,I205))</f>
        <v>-18359</v>
      </c>
      <c r="J180" s="99">
        <f ca="1">IF(J205&lt;0,-J205,-MIN(J179,J205))</f>
        <v>0</v>
      </c>
      <c r="K180" s="99">
        <f t="shared" ref="K180:M180" ca="1" si="98">IF(K205&lt;0,-K205,-MIN(K179,K205))</f>
        <v>0</v>
      </c>
      <c r="L180" s="99">
        <f t="shared" ca="1" si="98"/>
        <v>0</v>
      </c>
      <c r="M180" s="99">
        <f t="shared" ca="1" si="98"/>
        <v>0</v>
      </c>
    </row>
    <row r="181" spans="2:13" s="13" customFormat="1" x14ac:dyDescent="0.2">
      <c r="B181" s="13" t="s">
        <v>89</v>
      </c>
      <c r="H181" s="14">
        <f>H94</f>
        <v>18359</v>
      </c>
      <c r="I181" s="14">
        <f ca="1">SUM(I179:I180)</f>
        <v>0</v>
      </c>
      <c r="J181" s="14">
        <f ca="1">SUM(J179:J180)</f>
        <v>0</v>
      </c>
      <c r="K181" s="14">
        <f ca="1">SUM(K179:K180)</f>
        <v>0</v>
      </c>
      <c r="L181" s="14">
        <f ca="1">SUM(L179:L180)</f>
        <v>0</v>
      </c>
      <c r="M181" s="14">
        <f ca="1">SUM(M179:M180)</f>
        <v>0</v>
      </c>
    </row>
    <row r="182" spans="2:13" s="95" customFormat="1" x14ac:dyDescent="0.2">
      <c r="B182" s="95" t="s">
        <v>109</v>
      </c>
      <c r="H182" s="100">
        <v>1.21E-2</v>
      </c>
      <c r="I182" s="101">
        <f>H182</f>
        <v>1.21E-2</v>
      </c>
      <c r="J182" s="101">
        <f t="shared" ref="J182:M182" si="99">I182</f>
        <v>1.21E-2</v>
      </c>
      <c r="K182" s="101">
        <f t="shared" si="99"/>
        <v>1.21E-2</v>
      </c>
      <c r="L182" s="101">
        <f t="shared" si="99"/>
        <v>1.21E-2</v>
      </c>
      <c r="M182" s="101">
        <f t="shared" si="99"/>
        <v>1.21E-2</v>
      </c>
    </row>
    <row r="183" spans="2:13" x14ac:dyDescent="0.2">
      <c r="B183" s="1" t="s">
        <v>110</v>
      </c>
      <c r="I183" s="10">
        <f ca="1">IF(Circ=0,0,AVERAGE(I179,I181)*I182)</f>
        <v>111.07195</v>
      </c>
      <c r="J183" s="10">
        <f ca="1">IF(Circ=0,0,AVERAGE(J179,J181)*J182)</f>
        <v>0</v>
      </c>
      <c r="K183" s="10">
        <f ca="1">IF(Circ=0,0,AVERAGE(K179,K181)*K182)</f>
        <v>0</v>
      </c>
      <c r="L183" s="10">
        <f ca="1">IF(Circ=0,0,AVERAGE(L179,L181)*L182)</f>
        <v>0</v>
      </c>
      <c r="M183" s="10">
        <f ca="1">IF(Circ=0,0,AVERAGE(M179,M181)*M182)</f>
        <v>0</v>
      </c>
    </row>
    <row r="185" spans="2:13" x14ac:dyDescent="0.2">
      <c r="B185" s="1" t="s">
        <v>64</v>
      </c>
    </row>
    <row r="186" spans="2:13" s="13" customFormat="1" x14ac:dyDescent="0.2">
      <c r="B186" s="13" t="s">
        <v>86</v>
      </c>
      <c r="H186" s="14"/>
      <c r="I186" s="14">
        <f>H188</f>
        <v>12239</v>
      </c>
      <c r="J186" s="14">
        <f t="shared" ref="J186:M186" si="100">I188</f>
        <v>12239</v>
      </c>
      <c r="K186" s="14">
        <f t="shared" si="100"/>
        <v>0</v>
      </c>
      <c r="L186" s="14">
        <f t="shared" si="100"/>
        <v>0</v>
      </c>
      <c r="M186" s="14">
        <f t="shared" si="100"/>
        <v>0</v>
      </c>
    </row>
    <row r="187" spans="2:13" x14ac:dyDescent="0.2">
      <c r="B187" s="55" t="s">
        <v>108</v>
      </c>
      <c r="C187" s="55"/>
      <c r="D187" s="55"/>
      <c r="E187" s="55"/>
      <c r="F187" s="55"/>
      <c r="G187" s="55"/>
      <c r="H187" s="59"/>
      <c r="I187" s="59"/>
      <c r="J187" s="90">
        <v>-12239</v>
      </c>
      <c r="K187" s="59"/>
      <c r="L187" s="59"/>
      <c r="M187" s="59"/>
    </row>
    <row r="188" spans="2:13" s="13" customFormat="1" x14ac:dyDescent="0.2">
      <c r="B188" s="13" t="s">
        <v>89</v>
      </c>
      <c r="H188" s="14">
        <f>H96</f>
        <v>12239</v>
      </c>
      <c r="I188" s="14">
        <f>SUM(I186:I187)</f>
        <v>12239</v>
      </c>
      <c r="J188" s="14">
        <f>SUM(J186:J187)</f>
        <v>0</v>
      </c>
      <c r="K188" s="14">
        <f>SUM(K186:K187)</f>
        <v>0</v>
      </c>
      <c r="L188" s="14">
        <f>SUM(L186:L187)</f>
        <v>0</v>
      </c>
      <c r="M188" s="14">
        <f>SUM(M186:M187)</f>
        <v>0</v>
      </c>
    </row>
    <row r="189" spans="2:13" s="95" customFormat="1" x14ac:dyDescent="0.2">
      <c r="B189" s="95" t="s">
        <v>109</v>
      </c>
      <c r="H189" s="100">
        <v>1.2999999999999999E-2</v>
      </c>
      <c r="I189" s="101">
        <f>H189</f>
        <v>1.2999999999999999E-2</v>
      </c>
      <c r="J189" s="101">
        <f>I189</f>
        <v>1.2999999999999999E-2</v>
      </c>
      <c r="K189" s="101">
        <f t="shared" ref="K189:M189" si="101">J189</f>
        <v>1.2999999999999999E-2</v>
      </c>
      <c r="L189" s="101">
        <f t="shared" si="101"/>
        <v>1.2999999999999999E-2</v>
      </c>
      <c r="M189" s="101">
        <f t="shared" si="101"/>
        <v>1.2999999999999999E-2</v>
      </c>
    </row>
    <row r="190" spans="2:13" x14ac:dyDescent="0.2">
      <c r="B190" s="1" t="s">
        <v>110</v>
      </c>
      <c r="I190" s="10">
        <f>IF(Circ=0,0,AVERAGE(I186,I188)*I189)</f>
        <v>159.107</v>
      </c>
      <c r="J190" s="10">
        <f>IF(Circ=0,0,AVERAGE(J186,J188)*J189)</f>
        <v>79.5535</v>
      </c>
      <c r="K190" s="10">
        <f>IF(Circ=0,0,AVERAGE(K186,K188)*K189)</f>
        <v>0</v>
      </c>
      <c r="L190" s="10">
        <f>IF(Circ=0,0,AVERAGE(L186,L188)*L189)</f>
        <v>0</v>
      </c>
      <c r="M190" s="10">
        <f>IF(Circ=0,0,AVERAGE(M186,M188)*M189)</f>
        <v>0</v>
      </c>
    </row>
    <row r="191" spans="2:13" x14ac:dyDescent="0.2">
      <c r="I191" s="10"/>
      <c r="J191" s="10"/>
    </row>
    <row r="192" spans="2:13" s="13" customFormat="1" x14ac:dyDescent="0.2">
      <c r="B192" s="13" t="s">
        <v>86</v>
      </c>
      <c r="H192" s="14"/>
      <c r="I192" s="14">
        <f>H194</f>
        <v>30598</v>
      </c>
      <c r="J192" s="14">
        <f t="shared" ref="J192" ca="1" si="102">I194</f>
        <v>12239</v>
      </c>
      <c r="K192" s="14">
        <f t="shared" ref="K192" ca="1" si="103">J194</f>
        <v>0</v>
      </c>
      <c r="L192" s="14">
        <f t="shared" ref="L192" ca="1" si="104">K194</f>
        <v>0</v>
      </c>
      <c r="M192" s="14">
        <f t="shared" ref="M192" ca="1" si="105">L194</f>
        <v>0</v>
      </c>
    </row>
    <row r="193" spans="1:13" x14ac:dyDescent="0.2">
      <c r="B193" s="55" t="s">
        <v>108</v>
      </c>
      <c r="C193" s="55"/>
      <c r="D193" s="55"/>
      <c r="E193" s="55"/>
      <c r="F193" s="55"/>
      <c r="G193" s="55"/>
      <c r="H193" s="55"/>
      <c r="I193" s="59">
        <f ca="1">I180+I187</f>
        <v>-18359</v>
      </c>
      <c r="J193" s="59">
        <f ca="1">J180+J187</f>
        <v>-12239</v>
      </c>
      <c r="K193" s="59">
        <f ca="1">K180+K187</f>
        <v>0</v>
      </c>
      <c r="L193" s="59">
        <f ca="1">L180+L187</f>
        <v>0</v>
      </c>
      <c r="M193" s="59">
        <f ca="1">M180+M187</f>
        <v>0</v>
      </c>
    </row>
    <row r="194" spans="1:13" s="13" customFormat="1" x14ac:dyDescent="0.2">
      <c r="B194" s="13" t="s">
        <v>89</v>
      </c>
      <c r="G194" s="13">
        <v>0</v>
      </c>
      <c r="H194" s="14">
        <f>H181+H188</f>
        <v>30598</v>
      </c>
      <c r="I194" s="14">
        <f ca="1">SUM(I192:I193)</f>
        <v>12239</v>
      </c>
      <c r="J194" s="14">
        <f ca="1">SUM(J192:J193)</f>
        <v>0</v>
      </c>
      <c r="K194" s="14">
        <f ca="1">SUM(K192:K193)</f>
        <v>0</v>
      </c>
      <c r="L194" s="14">
        <f ca="1">SUM(L192:L193)</f>
        <v>0</v>
      </c>
      <c r="M194" s="14">
        <f ca="1">SUM(M192:M193)</f>
        <v>0</v>
      </c>
    </row>
    <row r="195" spans="1:13" x14ac:dyDescent="0.2">
      <c r="B195" s="1" t="s">
        <v>110</v>
      </c>
      <c r="I195" s="10">
        <f ca="1">I183+I190</f>
        <v>270.17894999999999</v>
      </c>
      <c r="J195" s="10">
        <f ca="1">J183+J190</f>
        <v>79.5535</v>
      </c>
      <c r="K195" s="10">
        <f ca="1">K183+K190</f>
        <v>0</v>
      </c>
      <c r="L195" s="10">
        <f ca="1">L183+L190</f>
        <v>0</v>
      </c>
      <c r="M195" s="10">
        <f ca="1">M183+M190</f>
        <v>0</v>
      </c>
    </row>
    <row r="196" spans="1:13" x14ac:dyDescent="0.2">
      <c r="I196" s="10"/>
      <c r="J196" s="10"/>
      <c r="K196" s="10"/>
      <c r="L196" s="10"/>
      <c r="M196" s="10"/>
    </row>
    <row r="197" spans="1:13" x14ac:dyDescent="0.2">
      <c r="B197" s="1" t="s">
        <v>62</v>
      </c>
    </row>
    <row r="198" spans="1:13" x14ac:dyDescent="0.2">
      <c r="B198" s="38" t="s">
        <v>100</v>
      </c>
      <c r="I198" s="10">
        <f ca="1">I162</f>
        <v>128773.61055654107</v>
      </c>
      <c r="J198" s="10">
        <f ca="1">J162</f>
        <v>148662.26266675716</v>
      </c>
      <c r="K198" s="10">
        <f ca="1">K162</f>
        <v>169485.90452601947</v>
      </c>
      <c r="L198" s="10">
        <f ca="1">L162</f>
        <v>190161.80844683532</v>
      </c>
      <c r="M198" s="10">
        <f ca="1">M162</f>
        <v>209839.0929188033</v>
      </c>
    </row>
    <row r="199" spans="1:13" x14ac:dyDescent="0.2">
      <c r="B199" s="81" t="s">
        <v>102</v>
      </c>
      <c r="C199" s="55"/>
      <c r="D199" s="55"/>
      <c r="E199" s="55"/>
      <c r="F199" s="55"/>
      <c r="G199" s="55"/>
      <c r="H199" s="55"/>
      <c r="I199" s="59">
        <f>I165</f>
        <v>-26776.3899375</v>
      </c>
      <c r="J199" s="59">
        <f ca="1">J165</f>
        <v>-19848.051482999999</v>
      </c>
      <c r="K199" s="59">
        <f ca="1">K165</f>
        <v>-23252.205711759376</v>
      </c>
      <c r="L199" s="59">
        <f ca="1">L165</f>
        <v>-26657.796762035734</v>
      </c>
      <c r="M199" s="59">
        <f ca="1">M165</f>
        <v>-29939.962618275596</v>
      </c>
    </row>
    <row r="200" spans="1:13" x14ac:dyDescent="0.2">
      <c r="B200" s="1" t="s">
        <v>111</v>
      </c>
      <c r="I200" s="10">
        <f ca="1">SUM(I198:I199)</f>
        <v>101997.22061904107</v>
      </c>
      <c r="J200" s="10">
        <f t="shared" ref="J200:M200" ca="1" si="106">SUM(J198:J199)</f>
        <v>128814.21118375716</v>
      </c>
      <c r="K200" s="10">
        <f t="shared" ca="1" si="106"/>
        <v>146233.6988142601</v>
      </c>
      <c r="L200" s="10">
        <f t="shared" ca="1" si="106"/>
        <v>163504.0116847996</v>
      </c>
      <c r="M200" s="10">
        <f t="shared" ca="1" si="106"/>
        <v>179899.1303005277</v>
      </c>
    </row>
    <row r="201" spans="1:13" x14ac:dyDescent="0.2">
      <c r="B201" s="1" t="s">
        <v>96</v>
      </c>
      <c r="I201" s="10">
        <f ca="1">I168</f>
        <v>-32599.251325574995</v>
      </c>
      <c r="J201" s="10">
        <f ca="1">J168</f>
        <v>-38423.487162109785</v>
      </c>
      <c r="K201" s="10">
        <f ca="1">K168</f>
        <v>-44255.744268070746</v>
      </c>
      <c r="L201" s="10">
        <f ca="1">L168</f>
        <v>-49845.568625554784</v>
      </c>
      <c r="M201" s="10">
        <f ca="1">M168</f>
        <v>-54980.826122582264</v>
      </c>
    </row>
    <row r="202" spans="1:13" x14ac:dyDescent="0.2">
      <c r="B202" s="1" t="s">
        <v>112</v>
      </c>
      <c r="I202" s="10">
        <f>I172</f>
        <v>116582</v>
      </c>
      <c r="J202" s="10">
        <f ca="1">J172</f>
        <v>167620.96929346607</v>
      </c>
      <c r="K202" s="10">
        <f ca="1">K172</f>
        <v>245772.69331511343</v>
      </c>
      <c r="L202" s="10">
        <f ca="1">L172</f>
        <v>347750.64786130277</v>
      </c>
      <c r="M202" s="10">
        <f ca="1">M172</f>
        <v>461409.09092054761</v>
      </c>
    </row>
    <row r="203" spans="1:13" x14ac:dyDescent="0.2">
      <c r="B203" s="1" t="s">
        <v>113</v>
      </c>
      <c r="I203" s="32">
        <v>-80000</v>
      </c>
      <c r="J203" s="10">
        <f>I203</f>
        <v>-80000</v>
      </c>
      <c r="K203" s="10">
        <f t="shared" ref="K203:M203" si="107">J203</f>
        <v>-80000</v>
      </c>
      <c r="L203" s="10">
        <f t="shared" si="107"/>
        <v>-80000</v>
      </c>
      <c r="M203" s="10">
        <f t="shared" si="107"/>
        <v>-80000</v>
      </c>
    </row>
    <row r="204" spans="1:13" x14ac:dyDescent="0.2">
      <c r="B204" s="1" t="s">
        <v>114</v>
      </c>
      <c r="I204" s="10">
        <f>I187</f>
        <v>0</v>
      </c>
      <c r="J204" s="10">
        <f t="shared" ref="J204:M204" si="108">J187</f>
        <v>-12239</v>
      </c>
      <c r="K204" s="10">
        <f t="shared" si="108"/>
        <v>0</v>
      </c>
      <c r="L204" s="10">
        <f t="shared" si="108"/>
        <v>0</v>
      </c>
      <c r="M204" s="10">
        <f t="shared" si="108"/>
        <v>0</v>
      </c>
    </row>
    <row r="205" spans="1:13" x14ac:dyDescent="0.2">
      <c r="B205" s="1" t="s">
        <v>115</v>
      </c>
      <c r="I205" s="10">
        <f ca="1">SUM(I200:I204)</f>
        <v>105979.96929346607</v>
      </c>
      <c r="J205" s="10">
        <f t="shared" ref="J205:M205" ca="1" si="109">SUM(J200:J204)</f>
        <v>165772.69331511343</v>
      </c>
      <c r="K205" s="10">
        <f t="shared" ca="1" si="109"/>
        <v>267750.64786130277</v>
      </c>
      <c r="L205" s="10">
        <f t="shared" ca="1" si="109"/>
        <v>381409.09092054761</v>
      </c>
      <c r="M205" s="10">
        <f t="shared" ca="1" si="109"/>
        <v>506327.39509849309</v>
      </c>
    </row>
    <row r="206" spans="1:13" x14ac:dyDescent="0.2">
      <c r="I206" s="10"/>
      <c r="J206" s="10"/>
      <c r="K206" s="10"/>
      <c r="L206" s="10"/>
      <c r="M206" s="10"/>
    </row>
    <row r="207" spans="1:13" x14ac:dyDescent="0.2">
      <c r="A207" s="1" t="s">
        <v>0</v>
      </c>
      <c r="B207" s="109" t="s">
        <v>116</v>
      </c>
      <c r="C207" s="110"/>
      <c r="D207" s="110"/>
      <c r="E207" s="110"/>
      <c r="F207" s="110"/>
      <c r="G207" s="110"/>
      <c r="H207" s="110"/>
      <c r="I207" s="110"/>
      <c r="J207" s="110"/>
      <c r="K207" s="110"/>
      <c r="L207" s="110"/>
      <c r="M207" s="110"/>
    </row>
    <row r="208" spans="1:13" x14ac:dyDescent="0.2">
      <c r="I208" s="39"/>
      <c r="J208" s="39"/>
      <c r="K208" s="39"/>
      <c r="L208" s="39"/>
      <c r="M208" s="39"/>
    </row>
    <row r="209" spans="1:13" x14ac:dyDescent="0.2">
      <c r="B209" s="1" t="s">
        <v>20</v>
      </c>
      <c r="I209" s="10">
        <f>I15</f>
        <v>150151.79423999999</v>
      </c>
      <c r="J209" s="10">
        <f ca="1">J15</f>
        <v>176739.26459015996</v>
      </c>
      <c r="K209" s="10">
        <f ca="1">K15</f>
        <v>203474.68628998048</v>
      </c>
      <c r="L209" s="10">
        <f ca="1">L15</f>
        <v>229175.0281634703</v>
      </c>
      <c r="M209" s="10">
        <f ca="1">M15</f>
        <v>252785.40746014839</v>
      </c>
    </row>
    <row r="210" spans="1:13" x14ac:dyDescent="0.2">
      <c r="B210" s="55" t="s">
        <v>117</v>
      </c>
      <c r="C210" s="55"/>
      <c r="D210" s="55"/>
      <c r="E210" s="55"/>
      <c r="F210" s="55"/>
      <c r="G210" s="55"/>
      <c r="H210" s="55"/>
      <c r="I210" s="61">
        <f>-I209*I117</f>
        <v>-37537.948559999997</v>
      </c>
      <c r="J210" s="61">
        <f t="shared" ref="J210:M210" ca="1" si="110">-J209*J117</f>
        <v>-44184.81614753999</v>
      </c>
      <c r="K210" s="61">
        <f t="shared" ca="1" si="110"/>
        <v>-50868.671572495121</v>
      </c>
      <c r="L210" s="61">
        <f t="shared" ca="1" si="110"/>
        <v>-57293.757040867575</v>
      </c>
      <c r="M210" s="61">
        <f t="shared" ca="1" si="110"/>
        <v>-63196.351865037097</v>
      </c>
    </row>
    <row r="211" spans="1:13" s="13" customFormat="1" x14ac:dyDescent="0.2">
      <c r="B211" s="13" t="s">
        <v>118</v>
      </c>
      <c r="I211" s="14">
        <f>SUM(I209:I210)</f>
        <v>112613.84568</v>
      </c>
      <c r="J211" s="14">
        <f t="shared" ref="J211:M211" ca="1" si="111">SUM(J209:J210)</f>
        <v>132554.44844261996</v>
      </c>
      <c r="K211" s="14">
        <f t="shared" ca="1" si="111"/>
        <v>152606.01471748535</v>
      </c>
      <c r="L211" s="14">
        <f t="shared" ca="1" si="111"/>
        <v>171881.27112260272</v>
      </c>
      <c r="M211" s="14">
        <f t="shared" ca="1" si="111"/>
        <v>189589.05559511128</v>
      </c>
    </row>
    <row r="212" spans="1:13" x14ac:dyDescent="0.2">
      <c r="B212" s="1" t="s">
        <v>88</v>
      </c>
      <c r="I212" s="10">
        <f>I159</f>
        <v>16340.392</v>
      </c>
      <c r="J212" s="10">
        <f>J159</f>
        <v>18871.895305312501</v>
      </c>
      <c r="K212" s="10">
        <f ca="1">K159</f>
        <v>19577.111321140314</v>
      </c>
      <c r="L212" s="10">
        <f ca="1">L159</f>
        <v>20805.911779789072</v>
      </c>
      <c r="M212" s="10">
        <f ca="1">M159</f>
        <v>22447.265976012437</v>
      </c>
    </row>
    <row r="213" spans="1:13" x14ac:dyDescent="0.2">
      <c r="B213" s="1" t="s">
        <v>99</v>
      </c>
      <c r="I213" s="10">
        <f>-I119</f>
        <v>-2018.0988109589089</v>
      </c>
      <c r="J213" s="10">
        <f ca="1">-J119</f>
        <v>-4536.5437853753101</v>
      </c>
      <c r="K213" s="10">
        <f ca="1">-K119</f>
        <v>-4843.5789629224455</v>
      </c>
      <c r="L213" s="10">
        <f ca="1">-L119</f>
        <v>-4986.0941566674737</v>
      </c>
      <c r="M213" s="10">
        <f ca="1">-M119</f>
        <v>-4960.9175093920203</v>
      </c>
    </row>
    <row r="214" spans="1:13" x14ac:dyDescent="0.2">
      <c r="B214" s="55" t="s">
        <v>101</v>
      </c>
      <c r="C214" s="55"/>
      <c r="D214" s="55"/>
      <c r="E214" s="55"/>
      <c r="F214" s="55"/>
      <c r="G214" s="55"/>
      <c r="H214" s="55"/>
      <c r="I214" s="59">
        <f>I164</f>
        <v>-26776.3899375</v>
      </c>
      <c r="J214" s="59">
        <f ca="1">J164</f>
        <v>-19848.051482999999</v>
      </c>
      <c r="K214" s="59">
        <f ca="1">K164</f>
        <v>-23252.205711759376</v>
      </c>
      <c r="L214" s="59">
        <f ca="1">L164</f>
        <v>-26657.796762035734</v>
      </c>
      <c r="M214" s="59">
        <f ca="1">M164</f>
        <v>-29939.962618275596</v>
      </c>
    </row>
    <row r="215" spans="1:13" s="13" customFormat="1" x14ac:dyDescent="0.2">
      <c r="B215" s="13" t="s">
        <v>119</v>
      </c>
      <c r="I215" s="14">
        <f>SUM(I211:I214)</f>
        <v>100159.74893154108</v>
      </c>
      <c r="J215" s="14">
        <f t="shared" ref="J215:M215" ca="1" si="112">SUM(J211:J214)</f>
        <v>127041.74847955715</v>
      </c>
      <c r="K215" s="14">
        <f t="shared" ca="1" si="112"/>
        <v>144087.34136394385</v>
      </c>
      <c r="L215" s="14">
        <f t="shared" ca="1" si="112"/>
        <v>161043.2919836886</v>
      </c>
      <c r="M215" s="14">
        <f t="shared" ca="1" si="112"/>
        <v>177135.4414434561</v>
      </c>
    </row>
    <row r="216" spans="1:13" s="48" customFormat="1" x14ac:dyDescent="0.2">
      <c r="B216" s="45" t="s">
        <v>120</v>
      </c>
      <c r="I216" s="46"/>
      <c r="J216" s="47">
        <f ca="1">J215/I215-1</f>
        <v>0.26839124333658071</v>
      </c>
      <c r="K216" s="47">
        <f t="shared" ref="K216:M216" ca="1" si="113">K215/J215-1</f>
        <v>0.1341731603066656</v>
      </c>
      <c r="L216" s="47">
        <f t="shared" ca="1" si="113"/>
        <v>0.11767828082077281</v>
      </c>
      <c r="M216" s="47">
        <f t="shared" ca="1" si="113"/>
        <v>9.9924369786215106E-2</v>
      </c>
    </row>
    <row r="217" spans="1:13" s="13" customFormat="1" x14ac:dyDescent="0.2">
      <c r="B217" s="17" t="s">
        <v>121</v>
      </c>
      <c r="I217" s="14"/>
      <c r="J217" s="14"/>
      <c r="K217" s="14"/>
      <c r="L217" s="14"/>
      <c r="M217" s="14"/>
    </row>
    <row r="218" spans="1:13" s="13" customFormat="1" x14ac:dyDescent="0.2">
      <c r="B218" s="49" t="s">
        <v>122</v>
      </c>
      <c r="I218" s="51">
        <f>YEARFRAC($C$2,I7)</f>
        <v>0.75</v>
      </c>
      <c r="J218" s="51">
        <f>YEARFRAC($C$2,J7)</f>
        <v>1.75</v>
      </c>
      <c r="K218" s="51">
        <f>YEARFRAC($C$2,K7)</f>
        <v>2.75</v>
      </c>
      <c r="L218" s="51">
        <f>YEARFRAC($C$2,L7)</f>
        <v>3.75</v>
      </c>
      <c r="M218" s="51">
        <f>YEARFRAC($C$2,M7)</f>
        <v>4.75</v>
      </c>
    </row>
    <row r="219" spans="1:13" s="13" customFormat="1" x14ac:dyDescent="0.2">
      <c r="B219" s="49" t="s">
        <v>123</v>
      </c>
      <c r="I219" s="50">
        <f>IF(I218&lt;1,0.5*I218,0.5)</f>
        <v>0.375</v>
      </c>
      <c r="J219" s="50">
        <f t="shared" ref="J219:M219" si="114">IF(J218&lt;1,0.5*J218,0.5)</f>
        <v>0.5</v>
      </c>
      <c r="K219" s="50">
        <f t="shared" si="114"/>
        <v>0.5</v>
      </c>
      <c r="L219" s="50">
        <f t="shared" si="114"/>
        <v>0.5</v>
      </c>
      <c r="M219" s="50">
        <f t="shared" si="114"/>
        <v>0.5</v>
      </c>
    </row>
    <row r="220" spans="1:13" s="13" customFormat="1" x14ac:dyDescent="0.2">
      <c r="B220" s="49" t="s">
        <v>124</v>
      </c>
      <c r="I220" s="51">
        <f>(1/(1+$D$241)^I218)*((1+$D$241)^I219)</f>
        <v>0.97221624890266412</v>
      </c>
      <c r="J220" s="51">
        <f t="shared" ref="J220:M220" si="115">(1/(1+$D$241)^J218)*((1+$D$241)^J219)</f>
        <v>0.91035248962326509</v>
      </c>
      <c r="K220" s="51">
        <f t="shared" si="115"/>
        <v>0.84445643920051849</v>
      </c>
      <c r="L220" s="51">
        <f t="shared" si="115"/>
        <v>0.78333028781228098</v>
      </c>
      <c r="M220" s="51">
        <f t="shared" si="115"/>
        <v>0.72662876534519327</v>
      </c>
    </row>
    <row r="222" spans="1:13" x14ac:dyDescent="0.2">
      <c r="A222" s="1" t="s">
        <v>0</v>
      </c>
      <c r="B222" s="109" t="s">
        <v>125</v>
      </c>
      <c r="C222" s="110"/>
      <c r="D222" s="110"/>
      <c r="E222" s="110"/>
      <c r="G222" s="109" t="s">
        <v>142</v>
      </c>
      <c r="H222" s="110"/>
      <c r="I222" s="110"/>
      <c r="J222" s="110"/>
      <c r="K222" s="110"/>
      <c r="L222" s="110"/>
      <c r="M222" s="110"/>
    </row>
    <row r="224" spans="1:13" x14ac:dyDescent="0.2">
      <c r="B224" s="13" t="s">
        <v>126</v>
      </c>
      <c r="G224" s="1" t="s">
        <v>143</v>
      </c>
      <c r="M224" s="118">
        <f ca="1">SUMPRODUCT(I215:M215,I220:M220)</f>
        <v>589566.98600853293</v>
      </c>
    </row>
    <row r="225" spans="2:13" x14ac:dyDescent="0.2">
      <c r="B225" s="1" t="s">
        <v>110</v>
      </c>
      <c r="D225" s="12">
        <v>193</v>
      </c>
      <c r="G225" s="1" t="s">
        <v>144</v>
      </c>
      <c r="M225" s="62">
        <v>0.02</v>
      </c>
    </row>
    <row r="226" spans="2:13" x14ac:dyDescent="0.2">
      <c r="B226" s="55" t="s">
        <v>127</v>
      </c>
      <c r="C226" s="55"/>
      <c r="D226" s="59">
        <f>AVERAGE(G194,H194)</f>
        <v>15299</v>
      </c>
      <c r="G226" s="1" t="s">
        <v>145</v>
      </c>
      <c r="M226" s="16">
        <f ca="1">+M215*(1+M225)</f>
        <v>180678.15027232523</v>
      </c>
    </row>
    <row r="227" spans="2:13" x14ac:dyDescent="0.2">
      <c r="B227" s="1" t="s">
        <v>128</v>
      </c>
      <c r="D227" s="40">
        <f>D225/D226</f>
        <v>1.2615203608078959E-2</v>
      </c>
      <c r="G227" s="1" t="s">
        <v>146</v>
      </c>
      <c r="M227" s="16">
        <f ca="1">M226/(D241-M225)</f>
        <v>3113332.20529617</v>
      </c>
    </row>
    <row r="228" spans="2:13" x14ac:dyDescent="0.2">
      <c r="B228" s="55" t="s">
        <v>129</v>
      </c>
      <c r="C228" s="55"/>
      <c r="D228" s="60">
        <f>H117</f>
        <v>0.24962395674857962</v>
      </c>
      <c r="G228" s="55" t="s">
        <v>147</v>
      </c>
      <c r="H228" s="55"/>
      <c r="I228" s="55"/>
      <c r="J228" s="55"/>
      <c r="K228" s="55"/>
      <c r="L228" s="55"/>
      <c r="M228" s="56">
        <f ca="1">M227*M220</f>
        <v>2262236.7364437836</v>
      </c>
    </row>
    <row r="229" spans="2:13" x14ac:dyDescent="0.2">
      <c r="B229" s="1" t="s">
        <v>130</v>
      </c>
      <c r="D229" s="40">
        <f>D227*(1-D228)</f>
        <v>9.4661465682413307E-3</v>
      </c>
      <c r="G229" s="1" t="s">
        <v>148</v>
      </c>
      <c r="M229" s="16">
        <f ca="1">+M224+M228</f>
        <v>2851803.7224523164</v>
      </c>
    </row>
    <row r="230" spans="2:13" x14ac:dyDescent="0.2">
      <c r="D230" s="10"/>
      <c r="G230" s="26" t="s">
        <v>149</v>
      </c>
      <c r="M230" s="10">
        <f>-H194</f>
        <v>-30598</v>
      </c>
    </row>
    <row r="231" spans="2:13" x14ac:dyDescent="0.2">
      <c r="B231" s="13" t="s">
        <v>131</v>
      </c>
      <c r="D231" s="10"/>
      <c r="G231" s="26" t="s">
        <v>150</v>
      </c>
      <c r="M231" s="10">
        <f>H174</f>
        <v>116582</v>
      </c>
    </row>
    <row r="232" spans="2:13" x14ac:dyDescent="0.2">
      <c r="B232" s="1" t="s">
        <v>132</v>
      </c>
      <c r="D232" s="43">
        <v>8.9099999999999995E-3</v>
      </c>
      <c r="E232" s="41"/>
      <c r="G232" s="58" t="s">
        <v>151</v>
      </c>
      <c r="H232" s="55"/>
      <c r="I232" s="55"/>
      <c r="J232" s="55"/>
      <c r="K232" s="55"/>
      <c r="L232" s="55"/>
      <c r="M232" s="63">
        <v>14565</v>
      </c>
    </row>
    <row r="233" spans="2:13" x14ac:dyDescent="0.2">
      <c r="B233" s="1" t="s">
        <v>133</v>
      </c>
      <c r="D233" s="44">
        <v>1.43</v>
      </c>
      <c r="G233" s="1" t="s">
        <v>152</v>
      </c>
      <c r="M233" s="57">
        <f ca="1">SUM(M229:M232)</f>
        <v>2952352.7224523164</v>
      </c>
    </row>
    <row r="234" spans="2:13" x14ac:dyDescent="0.2">
      <c r="B234" s="55" t="s">
        <v>134</v>
      </c>
      <c r="C234" s="55"/>
      <c r="D234" s="114">
        <v>4.9399999999999999E-2</v>
      </c>
    </row>
    <row r="235" spans="2:13" x14ac:dyDescent="0.2">
      <c r="B235" s="1" t="s">
        <v>135</v>
      </c>
      <c r="D235" s="19">
        <f>+D232+D233*D234</f>
        <v>7.9551999999999998E-2</v>
      </c>
      <c r="G235" s="1" t="s">
        <v>141</v>
      </c>
      <c r="M235" s="16">
        <f>C245</f>
        <v>190332965</v>
      </c>
    </row>
    <row r="236" spans="2:13" x14ac:dyDescent="0.2">
      <c r="G236" s="1" t="s">
        <v>153</v>
      </c>
      <c r="M236" s="22">
        <f>548325+422937+25143</f>
        <v>996405</v>
      </c>
    </row>
    <row r="237" spans="2:13" x14ac:dyDescent="0.2">
      <c r="B237" s="1" t="s">
        <v>136</v>
      </c>
      <c r="C237" s="10">
        <f>H194</f>
        <v>30598</v>
      </c>
      <c r="D237" s="19">
        <f>+C237/$C$239</f>
        <v>2.1663599536844984E-2</v>
      </c>
      <c r="G237" s="1" t="s">
        <v>154</v>
      </c>
      <c r="M237" s="16">
        <f>SUM(M235:M236)</f>
        <v>191329370</v>
      </c>
    </row>
    <row r="238" spans="2:13" x14ac:dyDescent="0.2">
      <c r="B238" s="55" t="s">
        <v>137</v>
      </c>
      <c r="C238" s="61">
        <f>C3*C245/1000000</f>
        <v>1381817.3259000001</v>
      </c>
      <c r="D238" s="60">
        <f>+C238/$C$239</f>
        <v>0.97833640046315506</v>
      </c>
    </row>
    <row r="239" spans="2:13" x14ac:dyDescent="0.2">
      <c r="B239" s="1" t="s">
        <v>138</v>
      </c>
      <c r="C239" s="10">
        <f>SUM(C237:C238)</f>
        <v>1412415.3259000001</v>
      </c>
      <c r="D239" s="42">
        <f>SUM(D237:D238)</f>
        <v>1</v>
      </c>
      <c r="G239" s="52" t="s">
        <v>155</v>
      </c>
      <c r="H239" s="53"/>
      <c r="I239" s="53"/>
      <c r="J239" s="53"/>
      <c r="K239" s="53"/>
      <c r="L239" s="53"/>
      <c r="M239" s="64">
        <f ca="1">M233/M237*1000000</f>
        <v>15430.734562353477</v>
      </c>
    </row>
    <row r="241" spans="2:13" x14ac:dyDescent="0.2">
      <c r="B241" s="52" t="s">
        <v>139</v>
      </c>
      <c r="C241" s="53"/>
      <c r="D241" s="54">
        <f>+(D229*D237)+(D235*D238)</f>
        <v>7.8033688138056376E-2</v>
      </c>
    </row>
    <row r="242" spans="2:13" x14ac:dyDescent="0.2">
      <c r="G242" s="109" t="s">
        <v>156</v>
      </c>
      <c r="H242" s="110"/>
      <c r="I242" s="110"/>
      <c r="J242" s="110"/>
      <c r="K242" s="110"/>
      <c r="L242" s="110"/>
      <c r="M242" s="110"/>
    </row>
    <row r="243" spans="2:13" x14ac:dyDescent="0.2">
      <c r="B243" s="1" t="s">
        <v>140</v>
      </c>
      <c r="C243" s="22">
        <v>199542265</v>
      </c>
    </row>
    <row r="244" spans="2:13" x14ac:dyDescent="0.2">
      <c r="B244" s="1" t="s">
        <v>69</v>
      </c>
      <c r="C244" s="22">
        <v>9209300</v>
      </c>
      <c r="H244" s="115" t="s">
        <v>144</v>
      </c>
      <c r="I244" s="115"/>
      <c r="J244" s="115"/>
      <c r="K244" s="115"/>
      <c r="L244" s="115"/>
      <c r="M244" s="115"/>
    </row>
    <row r="245" spans="2:13" x14ac:dyDescent="0.2">
      <c r="B245" s="1" t="s">
        <v>141</v>
      </c>
      <c r="C245" s="16">
        <f>C243-C244</f>
        <v>190332965</v>
      </c>
      <c r="G245" s="116" t="s">
        <v>5</v>
      </c>
      <c r="H245" s="107">
        <f ca="1">M239</f>
        <v>15430.734562353477</v>
      </c>
      <c r="I245" s="74">
        <v>0.02</v>
      </c>
      <c r="J245" s="75">
        <f>I245+0.005</f>
        <v>2.5000000000000001E-2</v>
      </c>
      <c r="K245" s="75">
        <f t="shared" ref="K245:M245" si="116">J245+0.005</f>
        <v>3.0000000000000002E-2</v>
      </c>
      <c r="L245" s="75">
        <f t="shared" si="116"/>
        <v>3.5000000000000003E-2</v>
      </c>
      <c r="M245" s="76">
        <f t="shared" si="116"/>
        <v>0.04</v>
      </c>
    </row>
    <row r="246" spans="2:13" ht="18" customHeight="1" x14ac:dyDescent="0.2">
      <c r="G246" s="116"/>
      <c r="H246" s="77">
        <v>7.0000000000000007E-2</v>
      </c>
      <c r="I246" s="71">
        <f t="dataTable" ref="I246:M252" dt2D="1" dtr="1" r1="M225" r2="D241" ca="1"/>
        <v>15430.734562353477</v>
      </c>
      <c r="J246" s="72">
        <v>15430.734562353477</v>
      </c>
      <c r="K246" s="72">
        <v>15430.734562353477</v>
      </c>
      <c r="L246" s="72">
        <v>15430.734562353477</v>
      </c>
      <c r="M246" s="73">
        <v>15430.734562353477</v>
      </c>
    </row>
    <row r="247" spans="2:13" x14ac:dyDescent="0.2">
      <c r="G247" s="116"/>
      <c r="H247" s="78">
        <f>H246+0.005</f>
        <v>7.5000000000000011E-2</v>
      </c>
      <c r="I247" s="69">
        <v>15430.734562353477</v>
      </c>
      <c r="J247" s="65">
        <v>15430.734562353477</v>
      </c>
      <c r="K247" s="65">
        <v>15430.734562353477</v>
      </c>
      <c r="L247" s="65">
        <v>15430.734562353477</v>
      </c>
      <c r="M247" s="66">
        <v>15430.734562353477</v>
      </c>
    </row>
    <row r="248" spans="2:13" x14ac:dyDescent="0.2">
      <c r="G248" s="116"/>
      <c r="H248" s="78">
        <f t="shared" ref="H248:H252" si="117">H247+0.005</f>
        <v>8.0000000000000016E-2</v>
      </c>
      <c r="I248" s="69">
        <v>15430.734562353477</v>
      </c>
      <c r="J248" s="65">
        <v>15430.734562353477</v>
      </c>
      <c r="K248" s="65">
        <v>15430.734562353477</v>
      </c>
      <c r="L248" s="65">
        <v>15430.734562353477</v>
      </c>
      <c r="M248" s="66">
        <v>15430.734562353477</v>
      </c>
    </row>
    <row r="249" spans="2:13" x14ac:dyDescent="0.2">
      <c r="G249" s="116"/>
      <c r="H249" s="78">
        <f t="shared" si="117"/>
        <v>8.500000000000002E-2</v>
      </c>
      <c r="I249" s="69">
        <v>15430.734562353477</v>
      </c>
      <c r="J249" s="65">
        <v>15430.734562353477</v>
      </c>
      <c r="K249" s="65">
        <v>15430.734562353477</v>
      </c>
      <c r="L249" s="65">
        <v>15430.734562353477</v>
      </c>
      <c r="M249" s="66">
        <v>15430.734562353477</v>
      </c>
    </row>
    <row r="250" spans="2:13" x14ac:dyDescent="0.2">
      <c r="G250" s="116"/>
      <c r="H250" s="78">
        <f t="shared" si="117"/>
        <v>9.0000000000000024E-2</v>
      </c>
      <c r="I250" s="69">
        <v>15430.734562353477</v>
      </c>
      <c r="J250" s="65">
        <v>15430.734562353477</v>
      </c>
      <c r="K250" s="65">
        <v>15430.734562353477</v>
      </c>
      <c r="L250" s="65">
        <v>15430.734562353477</v>
      </c>
      <c r="M250" s="66">
        <v>15430.734562353477</v>
      </c>
    </row>
    <row r="251" spans="2:13" x14ac:dyDescent="0.2">
      <c r="G251" s="116"/>
      <c r="H251" s="78">
        <f t="shared" si="117"/>
        <v>9.5000000000000029E-2</v>
      </c>
      <c r="I251" s="69">
        <v>15430.734562353477</v>
      </c>
      <c r="J251" s="65">
        <v>15430.734562353477</v>
      </c>
      <c r="K251" s="65">
        <v>15430.734562353477</v>
      </c>
      <c r="L251" s="65">
        <v>15430.734562353477</v>
      </c>
      <c r="M251" s="66">
        <v>15430.734562353477</v>
      </c>
    </row>
    <row r="252" spans="2:13" x14ac:dyDescent="0.2">
      <c r="G252" s="116"/>
      <c r="H252" s="79">
        <f t="shared" si="117"/>
        <v>0.10000000000000003</v>
      </c>
      <c r="I252" s="70">
        <v>15430.734562353477</v>
      </c>
      <c r="J252" s="67">
        <v>15430.734562353477</v>
      </c>
      <c r="K252" s="67">
        <v>15430.734562353477</v>
      </c>
      <c r="L252" s="67">
        <v>15430.734562353477</v>
      </c>
      <c r="M252" s="68">
        <v>15430.734562353477</v>
      </c>
    </row>
  </sheetData>
  <mergeCells count="2">
    <mergeCell ref="H244:M244"/>
    <mergeCell ref="G245:G252"/>
  </mergeCells>
  <phoneticPr fontId="2"/>
  <dataValidations count="2">
    <dataValidation type="list" allowBlank="1" showInputMessage="1" showErrorMessage="1" sqref="C6" xr:uid="{842D72E5-CC38-487A-887B-CA8BBAE4CAFF}">
      <formula1>"0,1"</formula1>
    </dataValidation>
    <dataValidation type="list" allowBlank="1" showInputMessage="1" showErrorMessage="1" sqref="C7" xr:uid="{3BE45616-8E7A-4ABF-8EEF-AD544D21E64C}">
      <formula1>"1,2,3"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DD40B-EBD9-2A4E-A025-5EA65DFCFCD3}">
  <dimension ref="A1"/>
  <sheetViews>
    <sheetView workbookViewId="0">
      <selection activeCell="C41" sqref="C41"/>
    </sheetView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How to Use</vt:lpstr>
      <vt:lpstr>Caliculation</vt:lpstr>
      <vt:lpstr>▷ Data</vt:lpstr>
      <vt:lpstr>Circ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2022-11-06T14:58:26Z</dcterms:created>
  <dcterms:modified xsi:type="dcterms:W3CDTF">2024-10-06T10:59:34Z</dcterms:modified>
</cp:coreProperties>
</file>